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11206_privadec_zermanice_2\211206_31_002_privadec_2et\220412_cistopis\zdroje\Soupis_oceneni_VV\"/>
    </mc:Choice>
  </mc:AlternateContent>
  <xr:revisionPtr revIDLastSave="0" documentId="13_ncr:1_{41F80F9B-FA5F-4624-88B3-FFC7EFCB39DB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rekapitulace_SO_04" sheetId="1" r:id="rId1"/>
    <sheet name="sjezdy" sheetId="3" r:id="rId2"/>
    <sheet name="betony" sheetId="2" r:id="rId3"/>
  </sheets>
  <definedNames>
    <definedName name="_xlnm.Print_Titles" localSheetId="0">rekapitulace_SO_04!$12:$12</definedName>
    <definedName name="_xlnm.Print_Area" localSheetId="0">rekapitulace_SO_04!$B$1:$E$267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5" i="1" l="1"/>
  <c r="E142" i="1" l="1"/>
  <c r="E144" i="1" l="1"/>
  <c r="E197" i="1"/>
  <c r="E151" i="1"/>
  <c r="E67" i="1" l="1"/>
  <c r="E66" i="1" s="1"/>
  <c r="E33" i="1"/>
  <c r="E16" i="1"/>
  <c r="E91" i="1"/>
  <c r="E134" i="1"/>
  <c r="E85" i="1"/>
  <c r="E76" i="1"/>
  <c r="E70" i="1"/>
  <c r="E46" i="1"/>
  <c r="E160" i="1" l="1"/>
  <c r="E205" i="1" l="1"/>
  <c r="E204" i="1"/>
  <c r="E240" i="1"/>
  <c r="F96" i="2"/>
  <c r="F98" i="2" s="1"/>
  <c r="E241" i="1" s="1"/>
  <c r="F88" i="2"/>
  <c r="H51" i="2" l="1"/>
  <c r="E171" i="1" s="1"/>
  <c r="C50" i="2"/>
  <c r="C49" i="2"/>
  <c r="C51" i="2" s="1"/>
  <c r="E206" i="1" l="1"/>
  <c r="E248" i="1"/>
  <c r="E200" i="1" l="1"/>
  <c r="E236" i="1" l="1"/>
  <c r="F90" i="2"/>
  <c r="E237" i="1" s="1"/>
  <c r="E220" i="1"/>
  <c r="H60" i="2"/>
  <c r="F74" i="2"/>
  <c r="E226" i="1" s="1"/>
  <c r="H65" i="2"/>
  <c r="H62" i="2"/>
  <c r="H56" i="2"/>
  <c r="E218" i="1"/>
  <c r="E217" i="1"/>
  <c r="E216" i="1"/>
  <c r="E213" i="1"/>
  <c r="E212" i="1"/>
  <c r="E211" i="1"/>
  <c r="E210" i="1"/>
  <c r="E209" i="1"/>
  <c r="E207" i="1"/>
  <c r="E202" i="1"/>
  <c r="E199" i="1"/>
  <c r="E198" i="1"/>
  <c r="E196" i="1" l="1"/>
  <c r="H66" i="2"/>
  <c r="H67" i="2" s="1"/>
  <c r="H69" i="2" s="1"/>
  <c r="E223" i="1" s="1"/>
  <c r="E215" i="1"/>
  <c r="G44" i="2" l="1"/>
  <c r="G38" i="2"/>
  <c r="E193" i="1"/>
  <c r="E192" i="1"/>
  <c r="E190" i="1"/>
  <c r="E189" i="1"/>
  <c r="E185" i="1"/>
  <c r="E178" i="1"/>
  <c r="F25" i="2"/>
  <c r="D25" i="2"/>
  <c r="C24" i="2"/>
  <c r="D23" i="2"/>
  <c r="C22" i="2"/>
  <c r="K22" i="2" s="1"/>
  <c r="D21" i="2"/>
  <c r="C20" i="2"/>
  <c r="K20" i="2" s="1"/>
  <c r="H19" i="2"/>
  <c r="D19" i="2"/>
  <c r="E176" i="1"/>
  <c r="E168" i="1"/>
  <c r="E166" i="1"/>
  <c r="E165" i="1"/>
  <c r="E130" i="1"/>
  <c r="E126" i="1"/>
  <c r="E124" i="1"/>
  <c r="E120" i="1"/>
  <c r="E123" i="1"/>
  <c r="E164" i="1" l="1"/>
  <c r="G24" i="2"/>
  <c r="E22" i="2"/>
  <c r="E24" i="2"/>
  <c r="G20" i="2"/>
  <c r="I20" i="2"/>
  <c r="I24" i="2"/>
  <c r="G46" i="2"/>
  <c r="G22" i="2"/>
  <c r="E20" i="2"/>
  <c r="K24" i="2"/>
  <c r="I22" i="2"/>
  <c r="E122" i="1"/>
  <c r="E26" i="2" l="1"/>
  <c r="I26" i="2"/>
  <c r="K26" i="2"/>
  <c r="G26" i="2"/>
  <c r="H28" i="2" l="1"/>
  <c r="E184" i="1" s="1"/>
  <c r="E183" i="1" s="1"/>
  <c r="E119" i="1" l="1"/>
  <c r="E118" i="1"/>
  <c r="E92" i="1"/>
  <c r="E117" i="1" l="1"/>
  <c r="E114" i="1" l="1"/>
  <c r="B122" i="3"/>
  <c r="E121" i="3"/>
  <c r="C119" i="3"/>
  <c r="E119" i="3" s="1"/>
  <c r="C117" i="3"/>
  <c r="E117" i="3" s="1"/>
  <c r="C115" i="3"/>
  <c r="E115" i="3" s="1"/>
  <c r="C113" i="3"/>
  <c r="E113" i="3" s="1"/>
  <c r="C111" i="3"/>
  <c r="E111" i="3" s="1"/>
  <c r="C109" i="3"/>
  <c r="E109" i="3" s="1"/>
  <c r="C107" i="3"/>
  <c r="E107" i="3" s="1"/>
  <c r="C105" i="3"/>
  <c r="E105" i="3" s="1"/>
  <c r="E123" i="3" s="1"/>
  <c r="E113" i="1" l="1"/>
  <c r="E95" i="1"/>
  <c r="G100" i="1"/>
  <c r="E111" i="1"/>
  <c r="E79" i="1"/>
  <c r="E109" i="1"/>
  <c r="E104" i="1"/>
  <c r="E101" i="1"/>
  <c r="E96" i="1"/>
  <c r="E98" i="1"/>
  <c r="E86" i="1"/>
  <c r="E96" i="3"/>
  <c r="E95" i="3"/>
  <c r="C92" i="3"/>
  <c r="E92" i="3" s="1"/>
  <c r="C90" i="3"/>
  <c r="E90" i="3" s="1"/>
  <c r="C88" i="3"/>
  <c r="E88" i="3" s="1"/>
  <c r="C86" i="3"/>
  <c r="E86" i="3" s="1"/>
  <c r="C84" i="3"/>
  <c r="E84" i="3" s="1"/>
  <c r="C82" i="3"/>
  <c r="E82" i="3" s="1"/>
  <c r="E80" i="3"/>
  <c r="E78" i="3"/>
  <c r="E76" i="3"/>
  <c r="C65" i="3"/>
  <c r="E65" i="3" s="1"/>
  <c r="C63" i="3"/>
  <c r="E63" i="3" s="1"/>
  <c r="C61" i="3"/>
  <c r="E61" i="3" s="1"/>
  <c r="C59" i="3"/>
  <c r="E59" i="3" s="1"/>
  <c r="C57" i="3"/>
  <c r="E57" i="3" s="1"/>
  <c r="C55" i="3"/>
  <c r="E55" i="3" s="1"/>
  <c r="C53" i="3"/>
  <c r="E53" i="3" s="1"/>
  <c r="C51" i="3"/>
  <c r="E51" i="3" s="1"/>
  <c r="E43" i="3"/>
  <c r="E44" i="3" s="1"/>
  <c r="E97" i="1" s="1"/>
  <c r="C33" i="3"/>
  <c r="E33" i="3" s="1"/>
  <c r="C31" i="3"/>
  <c r="E31" i="3" s="1"/>
  <c r="C29" i="3"/>
  <c r="E29" i="3" s="1"/>
  <c r="C27" i="3"/>
  <c r="E27" i="3" s="1"/>
  <c r="C25" i="3"/>
  <c r="E25" i="3" s="1"/>
  <c r="C23" i="3"/>
  <c r="E23" i="3" s="1"/>
  <c r="C21" i="3"/>
  <c r="E21" i="3" s="1"/>
  <c r="C19" i="3"/>
  <c r="E19" i="3" s="1"/>
  <c r="E97" i="3" l="1"/>
  <c r="E88" i="1" s="1"/>
  <c r="E100" i="1"/>
  <c r="E94" i="1"/>
  <c r="E90" i="1"/>
  <c r="E67" i="3"/>
  <c r="E69" i="3" s="1"/>
  <c r="E110" i="1" s="1"/>
  <c r="E35" i="3"/>
  <c r="E38" i="3" s="1"/>
  <c r="E87" i="1" s="1"/>
  <c r="E84" i="1" l="1"/>
  <c r="E75" i="1" l="1"/>
  <c r="E74" i="1"/>
  <c r="E63" i="1"/>
  <c r="E62" i="1"/>
  <c r="E61" i="1"/>
  <c r="E41" i="1"/>
  <c r="E60" i="1"/>
  <c r="E49" i="1"/>
  <c r="E48" i="1"/>
  <c r="E52" i="1"/>
  <c r="E43" i="1"/>
  <c r="E73" i="1" l="1"/>
  <c r="E59" i="1"/>
  <c r="E45" i="1"/>
  <c r="E42" i="1" l="1"/>
  <c r="E40" i="1"/>
  <c r="E20" i="1"/>
  <c r="E17" i="1"/>
  <c r="E19" i="1"/>
  <c r="E18" i="1"/>
  <c r="E39" i="1" l="1"/>
  <c r="E30" i="1"/>
  <c r="E22" i="1"/>
  <c r="E21" i="1"/>
  <c r="E15" i="1" l="1"/>
  <c r="E23" i="1"/>
  <c r="E108" i="1" l="1"/>
  <c r="E107" i="1" s="1"/>
  <c r="E180" i="1" l="1"/>
  <c r="E175" i="1" s="1"/>
</calcChain>
</file>

<file path=xl/sharedStrings.xml><?xml version="1.0" encoding="utf-8"?>
<sst xmlns="http://schemas.openxmlformats.org/spreadsheetml/2006/main" count="660" uniqueCount="391">
  <si>
    <t>Rekapitulace</t>
  </si>
  <si>
    <t>Objednavatel : Povodí Odry, s.p.</t>
  </si>
  <si>
    <t>Zhotovitel : AQUATIS a.s.</t>
  </si>
  <si>
    <t>Položka</t>
  </si>
  <si>
    <t>Popis položky</t>
  </si>
  <si>
    <t>Jednotka</t>
  </si>
  <si>
    <t>Zemní práce</t>
  </si>
  <si>
    <t>m</t>
  </si>
  <si>
    <t>Výkopy</t>
  </si>
  <si>
    <t>Množství DPS</t>
  </si>
  <si>
    <t>2.1</t>
  </si>
  <si>
    <t>2.2</t>
  </si>
  <si>
    <t>Bourací práce</t>
  </si>
  <si>
    <t>1.1</t>
  </si>
  <si>
    <t>1.2</t>
  </si>
  <si>
    <t>1.3</t>
  </si>
  <si>
    <t>2.3</t>
  </si>
  <si>
    <t>ks</t>
  </si>
  <si>
    <t>2.4</t>
  </si>
  <si>
    <t>2.5</t>
  </si>
  <si>
    <t>2.6</t>
  </si>
  <si>
    <t>3.1</t>
  </si>
  <si>
    <t>3.2</t>
  </si>
  <si>
    <t>2.7</t>
  </si>
  <si>
    <t>3.3</t>
  </si>
  <si>
    <t>2.8</t>
  </si>
  <si>
    <t>2.9</t>
  </si>
  <si>
    <t>3</t>
  </si>
  <si>
    <t>4</t>
  </si>
  <si>
    <t>2.11</t>
  </si>
  <si>
    <t>2.12</t>
  </si>
  <si>
    <t>2.13</t>
  </si>
  <si>
    <t>2.14</t>
  </si>
  <si>
    <t>3.4</t>
  </si>
  <si>
    <t>3.5</t>
  </si>
  <si>
    <t>3.6</t>
  </si>
  <si>
    <t>3.7</t>
  </si>
  <si>
    <t>Výkaz výměr - Přivaděč Vyšní Lhoty - Žermanice,</t>
  </si>
  <si>
    <t>koryto, km 0,000-3,633 - 2.etapa, km 1,881-3,633</t>
  </si>
  <si>
    <t>Datum : Duben 2022</t>
  </si>
  <si>
    <t>SO 04 Přivaděč km 2,644 00 - km 3,633 00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</si>
  <si>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</si>
  <si>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I. etapa</t>
  </si>
  <si>
    <t>II. etapa</t>
  </si>
  <si>
    <t>Provizorní zásyp rýhy fr. 32 - 63</t>
  </si>
  <si>
    <t>Štěrkodrť ŠDA fr. 0 - 63, tl. 400mm</t>
  </si>
  <si>
    <t>Zpětný hutněný zásyp materiálem z výkopu</t>
  </si>
  <si>
    <t>Vodorovné konstrukce</t>
  </si>
  <si>
    <t>Příčné spáry</t>
  </si>
  <si>
    <t>Proříznutí spáry  - šířka  4mm, hloubka  140mm</t>
  </si>
  <si>
    <t>Betony</t>
  </si>
  <si>
    <t>(68m2*0,2m) + (3,05m2*0,5m)</t>
  </si>
  <si>
    <t>Profil</t>
  </si>
  <si>
    <t>Staničení</t>
  </si>
  <si>
    <t>Vzdálenost</t>
  </si>
  <si>
    <t>plocha</t>
  </si>
  <si>
    <t>Objem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</si>
  <si>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</si>
  <si>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</si>
  <si>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t>šikmá deska</t>
  </si>
  <si>
    <t>patka</t>
  </si>
  <si>
    <t>04/B2</t>
  </si>
  <si>
    <t>04/B3</t>
  </si>
  <si>
    <t>04/B4</t>
  </si>
  <si>
    <t>zú=04/B1</t>
  </si>
  <si>
    <t>987,50m*2,4m2</t>
  </si>
  <si>
    <t>deska dna</t>
  </si>
  <si>
    <t>Beton - 2.část (7,765m)</t>
  </si>
  <si>
    <t xml:space="preserve">Beton 30/37 XF3 XA1 </t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</si>
  <si>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</si>
  <si>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Bourání konstrukcí -  I. etapa</t>
  </si>
  <si>
    <t>Odstranění původního potrubí  DN 200 po obou stranách koryta                                   2*1013 m</t>
  </si>
  <si>
    <t>Podkladní beton pod patkami    2*0,7m*0,1*17,7</t>
  </si>
  <si>
    <t>Odstranění pařezů 100-300 mm</t>
  </si>
  <si>
    <t>Odstranění pařezů 300-500 mm 30 %</t>
  </si>
  <si>
    <t>Odstranění pařezů 500-700 mm - 10%</t>
  </si>
  <si>
    <t>Odstranění pařezů7 00-900 mm</t>
  </si>
  <si>
    <t>1.3.1</t>
  </si>
  <si>
    <t>1.3.2</t>
  </si>
  <si>
    <t>1.3.3</t>
  </si>
  <si>
    <t>1.3.4</t>
  </si>
  <si>
    <t>1.4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</si>
  <si>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</si>
  <si>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Bourací práce - II. etapa</t>
  </si>
  <si>
    <t xml:space="preserve">Kácení křovin a mlazin.  Celková plocha   upravovaných svahů koryta je  koryta je 7011 m2   viz pol. 1.3. Uvažováno kácení 50% plochy)          tj. 7011*0,5                                                 Likvidace dle platné legislativy .                                  </t>
  </si>
  <si>
    <t>Bourání betonových konstrukcí</t>
  </si>
  <si>
    <t>Dno                                10m*0,2m*17,7m</t>
  </si>
  <si>
    <t>Dno pro výkop šachty       0,2 m * 5.5 m*5,5m</t>
  </si>
  <si>
    <t>Injektážní bloček                    1,7 m2 * 5,5 m</t>
  </si>
  <si>
    <t>Betonové desky dna až k stupni 18 - délka 987,5m</t>
  </si>
  <si>
    <t>2.1.1</t>
  </si>
  <si>
    <t>Výkop v nepaženi rýze</t>
  </si>
  <si>
    <t>Výkop rýhy pro pokládku drenážního potrubí na obou březích    (1,6m2+1,98m2) * 987,5m</t>
  </si>
  <si>
    <t>2.1.2</t>
  </si>
  <si>
    <r>
      <t>Před stupněm 18 - potrubí     2m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*14,7m</t>
    </r>
  </si>
  <si>
    <t>Poznámka: ostatní výkopy pro osazení šachet jsou započteny ve výkopech pro uložení potrubí v běžné trase</t>
  </si>
  <si>
    <t>2.1.3</t>
  </si>
  <si>
    <t>Výkop pro vybourání dnových patek    2*1,2m2 * 17,7m</t>
  </si>
  <si>
    <t>2.1.4</t>
  </si>
  <si>
    <t>kpl</t>
  </si>
  <si>
    <t xml:space="preserve">Před stupněm 18 - potrubí    3,2 m2*14,7m+ 4,7m2 *5,2m                 </t>
  </si>
  <si>
    <t xml:space="preserve">Betonové desky před stupněm 18                                               Svahy                             2*7,4m *0,2m*17,7 m   </t>
  </si>
  <si>
    <t>Betonová patka podél opevněného svahu  před stupněm 18  - délka opevnění 17,7 m                                              2*0,5m*17,7m</t>
  </si>
  <si>
    <r>
      <t>m</t>
    </r>
    <r>
      <rPr>
        <b/>
        <vertAlign val="superscript"/>
        <sz val="12"/>
        <rFont val="Calibri"/>
        <family val="2"/>
        <charset val="238"/>
        <scheme val="minor"/>
      </rPr>
      <t>3</t>
    </r>
  </si>
  <si>
    <t>2.1.5</t>
  </si>
  <si>
    <t>Pískový obsyp drenáží fr. 8 - 16</t>
  </si>
  <si>
    <t>Obsyp potrubí  v podélné trase po šachty Š 31                             (0,60m2 + 0,75m2)*987,50m</t>
  </si>
  <si>
    <t>Výkop pro propojující potrubí DN 400   - propojení šachet Š27/L a Š27/P                                            1,62m2*8,3m</t>
  </si>
  <si>
    <r>
      <t>Obsyp propojovacího potrubí   ( šachty 24 a 19A)  0,60m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*8,5m</t>
    </r>
  </si>
  <si>
    <t>Obsyp potrubí mezi šachtami Š31 /L,P a Š 32                               0,4m2 *4* 15,3 + 0,45 m2*2*5,2m</t>
  </si>
  <si>
    <t xml:space="preserve">Provizorní ochranný zásyp v korytě fr. 63-125 pro převedení vody do Žermanic, dosypání na původní úroveň po odstraněném betonu </t>
  </si>
  <si>
    <t>Trasa potrubí (0,75m2+0,87m2)*987,50m</t>
  </si>
  <si>
    <t>Propojovací potrubí  0,75 m2* 6m</t>
  </si>
  <si>
    <t>Dočasný sjezd</t>
  </si>
  <si>
    <t>Výkop</t>
  </si>
  <si>
    <t>zú</t>
  </si>
  <si>
    <t>Celkem</t>
  </si>
  <si>
    <t>sjezdy celkem</t>
  </si>
  <si>
    <t xml:space="preserve">Počet </t>
  </si>
  <si>
    <t xml:space="preserve">Výkop celkem </t>
  </si>
  <si>
    <t>x</t>
  </si>
  <si>
    <t>Štěrkový podsyp</t>
  </si>
  <si>
    <t>Délka</t>
  </si>
  <si>
    <t>šířka</t>
  </si>
  <si>
    <t>tl</t>
  </si>
  <si>
    <t>ŠP podsyp</t>
  </si>
  <si>
    <t>Plocha</t>
  </si>
  <si>
    <t>Zpětný zásyp</t>
  </si>
  <si>
    <t>13, 14</t>
  </si>
  <si>
    <t>2 ks</t>
  </si>
  <si>
    <t>2ks</t>
  </si>
  <si>
    <t>Trvalý sjezd 15</t>
  </si>
  <si>
    <t>Dočasné sjezdy č.13,14 výpočet viz záložka sjezdy</t>
  </si>
  <si>
    <t>Trvalý sjezd č. 15</t>
  </si>
  <si>
    <t>04/A1</t>
  </si>
  <si>
    <t>04/A2</t>
  </si>
  <si>
    <t>04/A3</t>
  </si>
  <si>
    <t>04/A4</t>
  </si>
  <si>
    <t>04/A5</t>
  </si>
  <si>
    <t>04/A6</t>
  </si>
  <si>
    <t>04/A7</t>
  </si>
  <si>
    <t>04/A8</t>
  </si>
  <si>
    <t>kú</t>
  </si>
  <si>
    <t xml:space="preserve">Vvýkop pro patku 1 </t>
  </si>
  <si>
    <t>Výkop pro patku 2</t>
  </si>
  <si>
    <t>1,4 m2* 4,6m</t>
  </si>
  <si>
    <t>1,1m2*4m</t>
  </si>
  <si>
    <t>m3</t>
  </si>
  <si>
    <t>Před stupněm 18      6m2*17,7m</t>
  </si>
  <si>
    <t>Běžná trasa 5,90m2* 987,50m</t>
  </si>
  <si>
    <t>Dočasné sjezdy  č. 13,14 - výpočet viz záložka sjezdy</t>
  </si>
  <si>
    <t>Běžná trasa(0,65m2 + 0,67m2) * 987,50m</t>
  </si>
  <si>
    <t xml:space="preserve">Pro vysypání tvárnic - 2/3 otvorů </t>
  </si>
  <si>
    <t>Plocha tvárnic 1608 m2 z toho díry cca 0,5</t>
  </si>
  <si>
    <t>0,08*0,5*1608</t>
  </si>
  <si>
    <t>Ve výpočtu je zahrnutý i sjezd č.15</t>
  </si>
  <si>
    <t xml:space="preserve">Běžná trasa (0,1m2 +0,1m2) * 1005m </t>
  </si>
  <si>
    <r>
      <t>Před stupněm č. 18                   1m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*17,7m</t>
    </r>
  </si>
  <si>
    <t>Zpětný hutněný zásyp materiálem z výkopu v prostoru šachty Š 32</t>
  </si>
  <si>
    <t>Výkop celkem 42,5+37,2+58 =138,5 m3</t>
  </si>
  <si>
    <t xml:space="preserve"> </t>
  </si>
  <si>
    <t>Objem šachty               1,6m*4,3m*2,5 = 17,2 m3</t>
  </si>
  <si>
    <t>2,10</t>
  </si>
  <si>
    <t>2.15</t>
  </si>
  <si>
    <t>Provizorní sjezdy č.13, 14 viz záložka  sjezdy</t>
  </si>
  <si>
    <t>Definitivní sjezd č.15                 1,8 m2 *31m</t>
  </si>
  <si>
    <t>Definitivní sjezd č. 15</t>
  </si>
  <si>
    <t>Sjezd 15</t>
  </si>
  <si>
    <t>Sjezd celkem</t>
  </si>
  <si>
    <t>(0,27m2+0,20m2)*987,50m/0,1</t>
  </si>
  <si>
    <t>Svrchní vrstva</t>
  </si>
  <si>
    <t>Před stupněm 18     2,5 m2*17,7 m</t>
  </si>
  <si>
    <t>Koryto                         10 * 987,5</t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</si>
  <si>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</si>
  <si>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Přípočet trvalý sjezd č. 15                            3,5 m* 31m</t>
  </si>
  <si>
    <t>Svahování násypů</t>
  </si>
  <si>
    <t xml:space="preserve">Koryto      2 *4 m*987,50m </t>
  </si>
  <si>
    <t>Provizorní sjezdy č. 13,14             2*30*3,5</t>
  </si>
  <si>
    <t>Definitivní sjezd  3m*30m - ostatní zahrnuto v  korytě</t>
  </si>
  <si>
    <t>4850+1610</t>
  </si>
  <si>
    <r>
      <rPr>
        <b/>
        <sz val="11"/>
        <rFont val="Calibri"/>
        <family val="2"/>
        <charset val="238"/>
        <scheme val="minor"/>
      </rPr>
      <t>Osetí</t>
    </r>
    <r>
      <rPr>
        <sz val="11"/>
        <rFont val="Calibri"/>
        <family val="2"/>
        <charset val="238"/>
        <scheme val="minor"/>
      </rPr>
      <t xml:space="preserve"> svahů nad korytem a osetí trávobetonových dlaždic ve sklonu 1:2</t>
    </r>
  </si>
  <si>
    <t>Silniční panely 3000/1000/150 - montáž a demontáž</t>
  </si>
  <si>
    <t>Provizorní sjezdy  č.13,14   plocha   2* 3*31             -186 ks</t>
  </si>
  <si>
    <t>2.16</t>
  </si>
  <si>
    <t>Ruční vybrání větších kamenů při vyplnění dlaždic materiálem zásypů z výkopu v ploše zatravňovacích dlaždic ve svahu</t>
  </si>
  <si>
    <t>2.17</t>
  </si>
  <si>
    <t>Podkladní beton C16/20  - tl 0,10 m</t>
  </si>
  <si>
    <t>šachty Š 25/L,PŠ 31 L,P                 2 m* 2 m * 0,1 * 14ks</t>
  </si>
  <si>
    <t>Šachta Š 32                             2m*5m*0,1m</t>
  </si>
  <si>
    <t>II etapa</t>
  </si>
  <si>
    <t>Mokřad                11.2m*0,1m*1,4</t>
  </si>
  <si>
    <t>4.1</t>
  </si>
  <si>
    <t>C30/37 XF3 XA1 specifikace dle statického výpočtu</t>
  </si>
  <si>
    <t>4.2</t>
  </si>
  <si>
    <t>Beton C 30/37</t>
  </si>
  <si>
    <t>Koryto dno * svahy</t>
  </si>
  <si>
    <t>4.3</t>
  </si>
  <si>
    <t>4.4</t>
  </si>
  <si>
    <t>Železobeton C30/37 XF3 XA1                                                      Specifikace dle statického výpočtu</t>
  </si>
  <si>
    <t>práh na svahu</t>
  </si>
  <si>
    <t>Celeken</t>
  </si>
  <si>
    <t>Úpravy před stupněm 18</t>
  </si>
  <si>
    <t>0,15m *3,75 m2 * 14 ks</t>
  </si>
  <si>
    <t>Přípočet u sjezdu 15</t>
  </si>
  <si>
    <t>Šachta Š 32</t>
  </si>
  <si>
    <t>Betonová deska dna před jezem    21m2*0,2m</t>
  </si>
  <si>
    <t>Celkový objem   1,6m*3,4 m * 2,55= 14 m3</t>
  </si>
  <si>
    <t>Odpočet  2,9m*1m*1,95 m = 5,65 m3</t>
  </si>
  <si>
    <t>Objem betonů šachty celkem    14 m3-5,7m3</t>
  </si>
  <si>
    <t>Injekční bloček     5,5m*1,7 m2=</t>
  </si>
  <si>
    <t>Betonové prahy sjezdu č. 15</t>
  </si>
  <si>
    <t>0,45 *4,4 + 0,5*4,6</t>
  </si>
  <si>
    <t>Mokřad    (0,2m2 + 0,4m2)/2*5,5m*2</t>
  </si>
  <si>
    <t>Stříkaný beton C20/25</t>
  </si>
  <si>
    <t>Pod betonovými deskami na prudkém svahu u stupně 18</t>
  </si>
  <si>
    <t>Tl .100 mm</t>
  </si>
  <si>
    <t>Levý svah</t>
  </si>
  <si>
    <t>Délka svahu</t>
  </si>
  <si>
    <t>Délka úpravy</t>
  </si>
  <si>
    <t>Tl.</t>
  </si>
  <si>
    <t>Pravý svah</t>
  </si>
  <si>
    <t>Stříkaný beton C20/25  celkem</t>
  </si>
  <si>
    <t>5</t>
  </si>
  <si>
    <t>Bednění rovinné</t>
  </si>
  <si>
    <t>5.1</t>
  </si>
  <si>
    <t xml:space="preserve">Bednění </t>
  </si>
  <si>
    <t>šachta</t>
  </si>
  <si>
    <t>5.2</t>
  </si>
  <si>
    <t xml:space="preserve">Bednění negativní </t>
  </si>
  <si>
    <t>6</t>
  </si>
  <si>
    <t>Ocelová výztuž</t>
  </si>
  <si>
    <r>
      <t>Paženo pažícím boxem   10,5 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*5,5m                              Poznámka : Při tomto výkopu musí být dodržena výška základové spáry, nesmí být přetěženo</t>
    </r>
  </si>
  <si>
    <t>šířka délka x výška              5.5 x 4 x 2,7</t>
  </si>
  <si>
    <r>
      <t>Průvrt dovrchně pod úhlem 10,2</t>
    </r>
    <r>
      <rPr>
        <sz val="10"/>
        <rFont val="Calibri"/>
        <family val="2"/>
        <charset val="238"/>
      </rPr>
      <t>° přes stupeň 18 vystrojený ocelovou chráničkou 377/12,5</t>
    </r>
    <r>
      <rPr>
        <sz val="10"/>
        <rFont val="Arial"/>
        <family val="2"/>
        <charset val="238"/>
      </rPr>
      <t>,  chránička viz. výpis výrobků</t>
    </r>
  </si>
  <si>
    <t>Obsyp ocelové chráničky vedené v zemině                                  0,8m2 * 4,5m</t>
  </si>
  <si>
    <t>Trvalý sjezd č. 15      3,5m * 0,15m*32m</t>
  </si>
  <si>
    <t>Svrchní vrstva z tříděného hlín. materiálu, tl.100,osetí</t>
  </si>
  <si>
    <t>Výpočet viz záložka betony</t>
  </si>
  <si>
    <t>Dopočet betonu strop - šachty</t>
  </si>
  <si>
    <r>
      <t>Bednění stropu revizních  šachet       1m*1m*14                                        - prostor pod stropem 0,55 m</t>
    </r>
    <r>
      <rPr>
        <vertAlign val="superscript"/>
        <sz val="11"/>
        <rFont val="Calibri"/>
        <family val="2"/>
        <charset val="238"/>
        <scheme val="minor"/>
      </rPr>
      <t>3</t>
    </r>
  </si>
  <si>
    <t>Bednění otvoru pro vstup do šachty v betonové desce stropu šachty     1m*4*0,3m*14</t>
  </si>
  <si>
    <t>Betonové prahy - sjezd č.15</t>
  </si>
  <si>
    <t>(0,6+4,2)*2*0,8 +0,9*2*(0,5+3,7)</t>
  </si>
  <si>
    <t>Úpravy před stupněm č.18</t>
  </si>
  <si>
    <t>Injekční bloček   1m *5,5 m</t>
  </si>
  <si>
    <t>Stěny vnitřní         2*(1m+2,9m)*2,8m</t>
  </si>
  <si>
    <t>Vstupní otvor  2*(0,6m+0,9m)*0,3m</t>
  </si>
  <si>
    <t>Bednění desky   4*0,2m2</t>
  </si>
  <si>
    <t>Patky před stupněm č.18    2*17,7m*0,7m</t>
  </si>
  <si>
    <t>Mokřad</t>
  </si>
  <si>
    <t>Mokřad   zahloubení do dna m   9,2 m2+2*0,05m*10,3m</t>
  </si>
  <si>
    <t>stěny 2*(0,1+0,7)/2*10,4</t>
  </si>
  <si>
    <t>6.1</t>
  </si>
  <si>
    <t>(0,6+4,2)*2*0,8 +0,9*2*(0,5+3,7) + 3,7*0,5+0,6*4,2=</t>
  </si>
  <si>
    <t>m2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</si>
  <si>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</si>
  <si>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Patky ve dně</t>
  </si>
  <si>
    <t>Patky ve svahu</t>
  </si>
  <si>
    <t>2*2,15 + 4*0,45</t>
  </si>
  <si>
    <t>Betonové desky na svazích</t>
  </si>
  <si>
    <t>2*5,5*17,7+4*1,6</t>
  </si>
  <si>
    <t xml:space="preserve">Hmotnost </t>
  </si>
  <si>
    <t>kg/m2</t>
  </si>
  <si>
    <r>
      <t>kg/m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</si>
  <si>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Hmotnost celkem</t>
  </si>
  <si>
    <t>kg</t>
  </si>
  <si>
    <t>Prutová výztuž</t>
  </si>
  <si>
    <t>Ocel 10505(R)</t>
  </si>
  <si>
    <t>6.3</t>
  </si>
  <si>
    <t>6.2</t>
  </si>
  <si>
    <t>Hmotnost</t>
  </si>
  <si>
    <t>Plocha včetně přesahů</t>
  </si>
  <si>
    <t>40% přesah</t>
  </si>
  <si>
    <t>hmotnost celkem</t>
  </si>
  <si>
    <r>
      <rPr>
        <sz val="11"/>
        <color theme="1"/>
        <rFont val="Aharoni"/>
        <charset val="177"/>
      </rPr>
      <t>Ø</t>
    </r>
    <r>
      <rPr>
        <sz val="11"/>
        <color theme="1"/>
        <rFont val="Calibri"/>
        <family val="2"/>
        <charset val="238"/>
      </rPr>
      <t xml:space="preserve"> do 12</t>
    </r>
  </si>
  <si>
    <r>
      <rPr>
        <sz val="11"/>
        <color theme="1"/>
        <rFont val="Aharoni"/>
        <charset val="177"/>
      </rPr>
      <t>Ø</t>
    </r>
    <r>
      <rPr>
        <sz val="11"/>
        <color theme="1"/>
        <rFont val="Calibri"/>
        <family val="2"/>
        <charset val="238"/>
      </rPr>
      <t xml:space="preserve"> nad 12</t>
    </r>
  </si>
  <si>
    <t>Svařovaná síť KARI 6x100x100</t>
  </si>
  <si>
    <t>Svařovaná síť KARI 8x100x100</t>
  </si>
  <si>
    <t>7</t>
  </si>
  <si>
    <t>Ostatní</t>
  </si>
  <si>
    <t>6.4</t>
  </si>
  <si>
    <t>7.1</t>
  </si>
  <si>
    <t>kplt</t>
  </si>
  <si>
    <t>7.2</t>
  </si>
  <si>
    <t>7.3</t>
  </si>
  <si>
    <t>7.4</t>
  </si>
  <si>
    <t>Sjezd č. 15 - prahy</t>
  </si>
  <si>
    <t>2*3,7m*17,7m+ 4*1,6m2</t>
  </si>
  <si>
    <t>Betonové opevnění svahu před stupněm č.18</t>
  </si>
  <si>
    <t>2*11*4</t>
  </si>
  <si>
    <t>6.4.</t>
  </si>
  <si>
    <t>Vlepovací smyková výztuž  - provázání přehrážky u mokřadu se dnem.</t>
  </si>
  <si>
    <r>
      <rPr>
        <sz val="11"/>
        <color theme="1"/>
        <rFont val="Aharoni"/>
        <charset val="177"/>
      </rPr>
      <t>Ø</t>
    </r>
    <r>
      <rPr>
        <sz val="11"/>
        <color theme="1"/>
        <rFont val="Calibri"/>
        <family val="2"/>
        <charset val="238"/>
      </rPr>
      <t>nad 12</t>
    </r>
  </si>
  <si>
    <t xml:space="preserve">Vlepované do vrtu Ø12 </t>
  </si>
  <si>
    <t>Délka průvrtu 150 mm</t>
  </si>
  <si>
    <t>Délka prutu 350 mm</t>
  </si>
  <si>
    <t>Délka celkem</t>
  </si>
  <si>
    <t>kg/m</t>
  </si>
  <si>
    <r>
      <rPr>
        <sz val="11"/>
        <color theme="1"/>
        <rFont val="Aharoni"/>
        <charset val="177"/>
      </rPr>
      <t>Ø</t>
    </r>
    <r>
      <rPr>
        <sz val="11"/>
        <color theme="1"/>
        <rFont val="Calibri"/>
        <family val="2"/>
        <charset val="238"/>
      </rPr>
      <t xml:space="preserve">  10    - </t>
    </r>
    <r>
      <rPr>
        <sz val="11"/>
        <color theme="1"/>
        <rFont val="Calibri"/>
        <family val="2"/>
        <charset val="177"/>
      </rPr>
      <t xml:space="preserve"> 5 ks m2</t>
    </r>
  </si>
  <si>
    <r>
      <rPr>
        <sz val="11"/>
        <color theme="1"/>
        <rFont val="Aharoni"/>
        <charset val="177"/>
      </rPr>
      <t>Ø</t>
    </r>
    <r>
      <rPr>
        <sz val="11"/>
        <color theme="1"/>
        <rFont val="Calibri"/>
        <family val="2"/>
        <charset val="238"/>
      </rPr>
      <t xml:space="preserve">  10    - </t>
    </r>
    <r>
      <rPr>
        <sz val="11"/>
        <color theme="1"/>
        <rFont val="Calibri"/>
        <family val="2"/>
        <charset val="177"/>
      </rPr>
      <t xml:space="preserve"> 5 ks m2 celkem 5*9= 45 ks</t>
    </r>
  </si>
  <si>
    <t>hmotnost</t>
  </si>
  <si>
    <t>Štěrkopísek fr. 0 - 8 pod Trávo betonové tvárnice</t>
  </si>
  <si>
    <t>Stěny venkovní     2*(1,6m+3,4m)*3,4m</t>
  </si>
  <si>
    <t>Výpočet viz z příloha   04_3.1 - Výkres výztuže - šachta Š 32</t>
  </si>
  <si>
    <t>Bednění podélných spár ve dně koryta    2*987,5*0,25m</t>
  </si>
  <si>
    <t>Výkopy - třída těžitelnosti 2</t>
  </si>
  <si>
    <t>Výkop v nepažené  jámě , zemina tř. 2</t>
  </si>
  <si>
    <r>
      <t xml:space="preserve">Hutněná vrstva kameniva   fr. 32 - 63, </t>
    </r>
    <r>
      <rPr>
        <sz val="11"/>
        <rFont val="Calibri"/>
        <family val="2"/>
        <charset val="238"/>
        <scheme val="minor"/>
      </rPr>
      <t>tl. 150+ mm na hutněnou pláň, tj. tloušťka vrstvy nad úroveň podloží, znaménko + značí částečné zatlačení vrstvy do podloží</t>
    </r>
  </si>
  <si>
    <t>Sanační stěrka na původní betonové konstrukci v případě potřeby pod těsnící pás 5/P, včetně případné hrubé reprofilace.</t>
  </si>
  <si>
    <t>86m x 0,2m</t>
  </si>
  <si>
    <t>Vlepovaná smyková výztuž  - provázání přehrážky u mokřadu se dnem.</t>
  </si>
  <si>
    <t>Vlepení do vrtu Ø 12 - délka   0,15*45</t>
  </si>
  <si>
    <t>Injektáž</t>
  </si>
  <si>
    <t>Plastová trubka hladká DN80 - chránička v betonu pro provedení injektážních vrtů v v opraveném injekčním bločku</t>
  </si>
  <si>
    <t>10 x 1,0m = 10m</t>
  </si>
  <si>
    <t>Přesný svislý jádrový vrt průměru do 79 mm, délka 4m (8x) a 4,5 (3x)</t>
  </si>
  <si>
    <t>Injektáž do 0,6MPa</t>
  </si>
  <si>
    <t>hod</t>
  </si>
  <si>
    <t>Přesná nivelace (3 body)</t>
  </si>
  <si>
    <t>7.5</t>
  </si>
  <si>
    <t>SPC</t>
  </si>
  <si>
    <t>7.6</t>
  </si>
  <si>
    <t>Jíl mletý (bentonit)</t>
  </si>
  <si>
    <t>7.7</t>
  </si>
  <si>
    <t>Jímky pro zachycení injektáže a likvidace v souladu s platnou legislativou</t>
  </si>
  <si>
    <t>8</t>
  </si>
  <si>
    <t>Pažící box s atypickými rozpěrami na šířku 5,5 m pro šachtu Š32</t>
  </si>
  <si>
    <t>Odřezání desky betonu ve dně kolem šachty Š32  při bourání stávající desky</t>
  </si>
  <si>
    <t>2 x 5,4m, tl. desky 200 mm</t>
  </si>
  <si>
    <t>Svařovaná síť KARI 6x100-6x100</t>
  </si>
  <si>
    <t>Úpravy pod stupněm č.18</t>
  </si>
  <si>
    <t>Svařovaná síť KARI 8x100-8x100 v Š32</t>
  </si>
  <si>
    <t>Ukončení betonových desek  u st.18  8*2,2m2</t>
  </si>
  <si>
    <t>Stříkaný beton C 20/25 tl 0,1 m (2 vrstvy po 50mm)</t>
  </si>
  <si>
    <t>levo</t>
  </si>
  <si>
    <t>pravo</t>
  </si>
  <si>
    <t>celkem</t>
  </si>
  <si>
    <t>celová stříkaná plocha      2*40</t>
  </si>
  <si>
    <t>Vyztužení stříkaného betonu</t>
  </si>
  <si>
    <t>Demontáž nerezové přepážky z šachty Š5, uložení na bezpečné místo a vrácení po dokončení výstavby a to celé 2x.</t>
  </si>
  <si>
    <t>8.1</t>
  </si>
  <si>
    <t>8.2</t>
  </si>
  <si>
    <t>8.3</t>
  </si>
  <si>
    <t>Čerpání vody ze stavební jámy 6 čerpadel po dobu 10 měsíců 8hod denně na výšku 5m, zvětšené délka čerpacích hadic, včetně odvodňovacích kanálků a jímek na dně stavební jámy a jejich zpětný zásyp</t>
  </si>
  <si>
    <t>3.8</t>
  </si>
  <si>
    <t>1.5</t>
  </si>
  <si>
    <t>6.4.1</t>
  </si>
  <si>
    <t>Vlepovaná smyková výztuž  - provázání nových a stávajících betonů injekčního bločku před st.18 9 k</t>
  </si>
  <si>
    <r>
      <rPr>
        <sz val="11"/>
        <color theme="1"/>
        <rFont val="Aharoni"/>
        <charset val="177"/>
      </rPr>
      <t>Ø</t>
    </r>
    <r>
      <rPr>
        <sz val="11"/>
        <color theme="1"/>
        <rFont val="Calibri"/>
        <family val="2"/>
        <charset val="238"/>
      </rPr>
      <t xml:space="preserve">  12  - </t>
    </r>
    <r>
      <rPr>
        <sz val="11"/>
        <color theme="1"/>
        <rFont val="Calibri"/>
        <family val="2"/>
        <charset val="177"/>
      </rPr>
      <t xml:space="preserve"> á 300 mm    2*12 = 24 ks</t>
    </r>
  </si>
  <si>
    <t>Vlepované do vrtu Ø16</t>
  </si>
  <si>
    <t>Délka průvrtu 250 mm</t>
  </si>
  <si>
    <t>Délka prutu500mm</t>
  </si>
  <si>
    <t>KS</t>
  </si>
  <si>
    <t>Vlepení do vrtu Ø16 délka   0,25*24</t>
  </si>
  <si>
    <r>
      <rPr>
        <sz val="11"/>
        <color theme="1"/>
        <rFont val="Aharoni"/>
        <charset val="177"/>
      </rPr>
      <t>Ø</t>
    </r>
    <r>
      <rPr>
        <sz val="11"/>
        <color theme="1"/>
        <rFont val="Calibri"/>
        <family val="2"/>
        <charset val="238"/>
      </rPr>
      <t xml:space="preserve">  12  - </t>
    </r>
    <r>
      <rPr>
        <sz val="11"/>
        <color theme="1"/>
        <rFont val="Calibri"/>
        <family val="2"/>
        <charset val="177"/>
      </rPr>
      <t xml:space="preserve"> á 300 mm    2*12 = 24 ks délka prutu 500 mm</t>
    </r>
  </si>
  <si>
    <t>Patky ve dně   2*(1,5m+ 1,1m)*17,7m + 8*2</t>
  </si>
  <si>
    <t>Patky na svahu 2*0,8m*17,7 m +  8*0,45</t>
  </si>
  <si>
    <t>Dočasné a trvalé sjezdy</t>
  </si>
  <si>
    <t>Betony, stříkaný beton, výztuž</t>
  </si>
  <si>
    <t xml:space="preserve">Čerpání vody z vývaru stupně 18 </t>
  </si>
  <si>
    <t>1*7 hodin</t>
  </si>
  <si>
    <t>Úprava pláně se zhutněním</t>
  </si>
  <si>
    <t xml:space="preserve">Rozhrnutí a zhutnění podkladních vrstev fr. 32-63 a 63-125 z provizovních zásypů v rýze nad drenáží do plochy koryta, zhutnění dle požadavků technické zprávy </t>
  </si>
  <si>
    <t>Bednění bočních stran 2*2,61m*0,3m*14ks</t>
  </si>
  <si>
    <t>Betonové desky na dně i svazích vyztužené svařovanou sítí  6x6x100 - opevnění dna i svahů před stupněm 18 - výpočet viz záložka betony</t>
  </si>
  <si>
    <r>
      <t>Strop           1m*1,9m   Prostor pod stropem 5,32 m</t>
    </r>
    <r>
      <rPr>
        <vertAlign val="superscript"/>
        <sz val="11"/>
        <rFont val="Calibri"/>
        <family val="2"/>
        <charset val="238"/>
        <scheme val="minor"/>
      </rPr>
      <t>3</t>
    </r>
  </si>
  <si>
    <t>Odřezání líce injekčního bločku š. 1,75 m a výšky 1,0 m 2x</t>
  </si>
  <si>
    <t>Výkop pro osazení šachtových den  v rámci I. etapy   - 14 ks šachet                      2,52m2*2,5m*14 ks</t>
  </si>
  <si>
    <t>provizorní zásyp kamenivem fr.63*-125  u šachet (navýšení oproti běžné trase)</t>
  </si>
  <si>
    <t>0,5m2*3,2m*14ks</t>
  </si>
  <si>
    <t>zásyp kam. fr. 32-63 u šachet do úrovně odstraněného bet.                      1.78m2*2,7m*14ks</t>
  </si>
  <si>
    <t>Trasa v korytě 7,54* 987,50</t>
  </si>
  <si>
    <t>(1,33+1,56)*987,50</t>
  </si>
  <si>
    <t>Běžná trasa 2,45m2 * 987,50m -  předpoklad 30% zatlačení do podloží, se zmenšením celkového objemu o materiál rozhrnutý z provizorních zásypů rýhy pol.2.17  2853,9 m3</t>
  </si>
  <si>
    <t>Do výpočtu je zahrnuto odstranění stávajících pařezů nacházejících se v obvodu staveniště. Likvidace dle platné legislativy včetně zasypání jam</t>
  </si>
  <si>
    <t>2.18</t>
  </si>
  <si>
    <t>Zásyp jam po odstranění pařezů - nad rámec zeminy při odkopání pařezů</t>
  </si>
  <si>
    <r>
      <t>Odstranění pařezů na svazích koryta - uvažováno cca1 ks /8 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              LB   Plocha  3,6*  987,5 m =     3555 m2                                                                                             PB   Plocha  3,5*  987,5m =     3456 m2                                                                                              Celkem Plocha  7011m2    </t>
    </r>
    <r>
      <rPr>
        <sz val="11"/>
        <rFont val="Calibri"/>
        <family val="2"/>
        <charset val="238"/>
      </rPr>
      <t xml:space="preserve">=&gt; celkem </t>
    </r>
    <r>
      <rPr>
        <sz val="11"/>
        <rFont val="Calibri"/>
        <family val="2"/>
        <charset val="238"/>
        <scheme val="minor"/>
      </rPr>
      <t xml:space="preserve">      869 ks   pařezů                                                                                        Z toho</t>
    </r>
  </si>
  <si>
    <t>869ks x 0,1m3</t>
  </si>
  <si>
    <t>0,99m2*987,50m</t>
  </si>
  <si>
    <t>Nepažená část výkopů pro šachtu Š 32   (4,5+1,7)*6</t>
  </si>
  <si>
    <t>(0,77m2+0,77m2)*987,5m</t>
  </si>
  <si>
    <t>neobsazeno</t>
  </si>
  <si>
    <t>Trvale pružný tmel u stupně 18</t>
  </si>
  <si>
    <t>5,4m+5,4+5,5</t>
  </si>
  <si>
    <t>Vložka do podélných bedněných dilatačních spár tl. cca 5 mm, např. Mirelon</t>
  </si>
  <si>
    <t>2*987,5*0,25</t>
  </si>
  <si>
    <t>(9m*199ks)+987,5m + 5,50m</t>
  </si>
  <si>
    <t>Betonové desky po opevnění koryta před stupněm 18 - nad bouraným stávajícím potrubí, včetně opevnění  svahů na obou březích koryta. Ubourání betonů se předpokládá bez odřezání, protože jde o značně porušené betony (kraj odbourání nemusí být rovný). Ubouráním však nesmí být znemožněn pojezd a převádění vody nad ponechanou částí betonů, které budou odbourávány ve 2. části prací. 
  (0,80 m2+0,75m2)*987,5 (Délka v ose)</t>
  </si>
  <si>
    <t>Výkop v pažené  jámě pro Š32 , zemina tř. 2</t>
  </si>
  <si>
    <t>13*17,7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</si>
</sst>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K_č_-;\-* #,##0.00\ _K_č_-;_-* &quot;-&quot;??\ _K_č_-;_-@_-"/>
    <numFmt numFmtId="165" formatCode="0.0"/>
    <numFmt numFmtId="166" formatCode="_-* #,##0.0\ _K_č_-;\-* #,##0.0\ _K_č_-;_-* &quot;-&quot;??\ _K_č_-;_-@_-"/>
    <numFmt numFmtId="167" formatCode="_-* #,##0\ _K_č_-;\-* #,##0\ _K_č_-;_-* &quot;-&quot;??\ _K_č_-;_-@_-"/>
    <numFmt numFmtId="168" formatCode="_-* #,##0.0\ _K_č_-;\-* #,##0.0\ _K_č_-;_-* &quot;-&quot;?\ _K_č_-;_-@_-"/>
    <numFmt numFmtId="169" formatCode="#,##0.0_ ;\-#,##0.0\ 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  <charset val="238"/>
    </font>
    <font>
      <b/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 CE"/>
      <charset val="238"/>
    </font>
    <font>
      <vertAlign val="superscript"/>
      <sz val="11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vertAlign val="superscript"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haroni"/>
      <charset val="177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177"/>
    </font>
    <font>
      <i/>
      <sz val="11"/>
      <name val="Calibri"/>
      <family val="2"/>
      <charset val="238"/>
      <scheme val="minor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58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8" fillId="0" borderId="0" xfId="0" applyFont="1"/>
    <xf numFmtId="0" fontId="9" fillId="0" borderId="0" xfId="0" applyFont="1" applyBorder="1" applyAlignment="1">
      <alignment vertical="top"/>
    </xf>
    <xf numFmtId="0" fontId="10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right"/>
    </xf>
    <xf numFmtId="2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/>
    <xf numFmtId="1" fontId="15" fillId="0" borderId="0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 applyAlignment="1">
      <alignment horizontal="right"/>
    </xf>
    <xf numFmtId="0" fontId="5" fillId="0" borderId="1" xfId="0" applyFont="1" applyFill="1" applyBorder="1" applyAlignment="1">
      <alignment horizontal="left" vertical="top" wrapText="1"/>
    </xf>
    <xf numFmtId="165" fontId="0" fillId="0" borderId="0" xfId="0" applyNumberFormat="1"/>
    <xf numFmtId="1" fontId="0" fillId="0" borderId="0" xfId="0" applyNumberFormat="1"/>
    <xf numFmtId="49" fontId="5" fillId="0" borderId="2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wrapText="1"/>
    </xf>
    <xf numFmtId="0" fontId="0" fillId="0" borderId="0" xfId="0" applyFill="1"/>
    <xf numFmtId="49" fontId="6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21" fillId="0" borderId="0" xfId="0" applyFont="1"/>
    <xf numFmtId="2" fontId="23" fillId="0" borderId="0" xfId="2" applyNumberFormat="1" applyFont="1"/>
    <xf numFmtId="165" fontId="23" fillId="0" borderId="0" xfId="2" applyNumberFormat="1" applyFont="1"/>
    <xf numFmtId="0" fontId="5" fillId="0" borderId="1" xfId="0" applyFont="1" applyFill="1" applyBorder="1"/>
    <xf numFmtId="0" fontId="5" fillId="0" borderId="3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0" xfId="0" applyFont="1"/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left"/>
    </xf>
    <xf numFmtId="2" fontId="6" fillId="0" borderId="0" xfId="0" applyNumberFormat="1" applyFont="1"/>
    <xf numFmtId="1" fontId="15" fillId="0" borderId="0" xfId="0" applyNumberFormat="1" applyFont="1" applyAlignment="1">
      <alignment horizontal="left"/>
    </xf>
    <xf numFmtId="1" fontId="15" fillId="0" borderId="0" xfId="0" applyNumberFormat="1" applyFont="1" applyAlignment="1">
      <alignment horizontal="center"/>
    </xf>
    <xf numFmtId="0" fontId="6" fillId="0" borderId="6" xfId="0" applyFont="1" applyBorder="1"/>
    <xf numFmtId="2" fontId="0" fillId="0" borderId="6" xfId="0" applyNumberFormat="1" applyBorder="1"/>
    <xf numFmtId="0" fontId="0" fillId="0" borderId="6" xfId="0" applyBorder="1"/>
    <xf numFmtId="0" fontId="6" fillId="0" borderId="0" xfId="0" applyFont="1" applyFill="1"/>
    <xf numFmtId="0" fontId="13" fillId="0" borderId="0" xfId="0" applyFont="1" applyFill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right"/>
    </xf>
    <xf numFmtId="2" fontId="0" fillId="0" borderId="0" xfId="0" applyNumberFormat="1" applyFill="1"/>
    <xf numFmtId="2" fontId="6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165" fontId="0" fillId="0" borderId="0" xfId="0" applyNumberFormat="1" applyFill="1" applyAlignment="1">
      <alignment horizontal="right"/>
    </xf>
    <xf numFmtId="2" fontId="6" fillId="0" borderId="6" xfId="0" applyNumberFormat="1" applyFont="1" applyFill="1" applyBorder="1" applyAlignment="1">
      <alignment horizontal="left"/>
    </xf>
    <xf numFmtId="2" fontId="0" fillId="0" borderId="6" xfId="0" applyNumberFormat="1" applyFill="1" applyBorder="1" applyAlignment="1">
      <alignment horizontal="right"/>
    </xf>
    <xf numFmtId="0" fontId="0" fillId="0" borderId="6" xfId="0" applyFill="1" applyBorder="1" applyAlignment="1">
      <alignment horizontal="left"/>
    </xf>
    <xf numFmtId="0" fontId="0" fillId="0" borderId="6" xfId="0" applyFill="1" applyBorder="1" applyAlignment="1">
      <alignment horizontal="right"/>
    </xf>
    <xf numFmtId="2" fontId="6" fillId="0" borderId="0" xfId="0" applyNumberFormat="1" applyFont="1" applyFill="1"/>
    <xf numFmtId="2" fontId="15" fillId="0" borderId="7" xfId="0" applyNumberFormat="1" applyFont="1" applyFill="1" applyBorder="1"/>
    <xf numFmtId="2" fontId="15" fillId="0" borderId="8" xfId="0" applyNumberFormat="1" applyFont="1" applyFill="1" applyBorder="1"/>
    <xf numFmtId="1" fontId="15" fillId="0" borderId="8" xfId="0" applyNumberFormat="1" applyFont="1" applyFill="1" applyBorder="1"/>
    <xf numFmtId="0" fontId="15" fillId="0" borderId="8" xfId="0" applyFont="1" applyFill="1" applyBorder="1"/>
    <xf numFmtId="1" fontId="15" fillId="0" borderId="9" xfId="0" applyNumberFormat="1" applyFont="1" applyFill="1" applyBorder="1" applyAlignment="1">
      <alignment horizontal="center"/>
    </xf>
    <xf numFmtId="1" fontId="15" fillId="0" borderId="0" xfId="0" applyNumberFormat="1" applyFont="1" applyFill="1" applyAlignment="1">
      <alignment horizontal="left"/>
    </xf>
    <xf numFmtId="0" fontId="6" fillId="0" borderId="10" xfId="0" applyFont="1" applyFill="1" applyBorder="1"/>
    <xf numFmtId="0" fontId="0" fillId="0" borderId="10" xfId="0" applyFill="1" applyBorder="1"/>
    <xf numFmtId="2" fontId="0" fillId="0" borderId="10" xfId="0" applyNumberFormat="1" applyFill="1" applyBorder="1"/>
    <xf numFmtId="1" fontId="15" fillId="0" borderId="0" xfId="0" applyNumberFormat="1" applyFont="1" applyFill="1" applyAlignment="1">
      <alignment horizontal="center"/>
    </xf>
    <xf numFmtId="0" fontId="0" fillId="0" borderId="6" xfId="0" applyFill="1" applyBorder="1"/>
    <xf numFmtId="2" fontId="15" fillId="0" borderId="0" xfId="0" applyNumberFormat="1" applyFont="1" applyFill="1" applyBorder="1"/>
    <xf numFmtId="1" fontId="15" fillId="0" borderId="0" xfId="0" applyNumberFormat="1" applyFont="1" applyFill="1" applyBorder="1"/>
    <xf numFmtId="0" fontId="15" fillId="0" borderId="0" xfId="0" applyFont="1" applyFill="1" applyBorder="1"/>
    <xf numFmtId="0" fontId="13" fillId="0" borderId="0" xfId="0" applyFont="1" applyFill="1" applyBorder="1"/>
    <xf numFmtId="0" fontId="6" fillId="0" borderId="0" xfId="0" applyFont="1" applyFill="1" applyBorder="1"/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left"/>
    </xf>
    <xf numFmtId="165" fontId="0" fillId="0" borderId="0" xfId="0" applyNumberFormat="1" applyFill="1" applyBorder="1" applyAlignment="1">
      <alignment horizontal="right"/>
    </xf>
    <xf numFmtId="2" fontId="6" fillId="0" borderId="0" xfId="0" applyNumberFormat="1" applyFont="1" applyFill="1" applyBorder="1"/>
    <xf numFmtId="0" fontId="2" fillId="0" borderId="0" xfId="0" applyFont="1" applyFill="1"/>
    <xf numFmtId="0" fontId="2" fillId="0" borderId="0" xfId="0" applyFont="1" applyFill="1" applyBorder="1"/>
    <xf numFmtId="49" fontId="15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2" fontId="0" fillId="0" borderId="0" xfId="0" applyNumberFormat="1" applyAlignment="1">
      <alignment horizontal="left"/>
    </xf>
    <xf numFmtId="2" fontId="24" fillId="0" borderId="0" xfId="0" applyNumberFormat="1" applyFont="1"/>
    <xf numFmtId="2" fontId="24" fillId="0" borderId="0" xfId="0" applyNumberFormat="1" applyFont="1" applyAlignment="1">
      <alignment horizontal="center"/>
    </xf>
    <xf numFmtId="2" fontId="6" fillId="0" borderId="0" xfId="0" applyNumberFormat="1" applyFont="1" applyBorder="1"/>
    <xf numFmtId="2" fontId="0" fillId="0" borderId="0" xfId="0" applyNumberFormat="1" applyBorder="1"/>
    <xf numFmtId="1" fontId="15" fillId="0" borderId="0" xfId="0" applyNumberFormat="1" applyFont="1" applyBorder="1" applyAlignment="1">
      <alignment horizontal="center"/>
    </xf>
    <xf numFmtId="2" fontId="6" fillId="0" borderId="6" xfId="0" applyNumberFormat="1" applyFont="1" applyBorder="1"/>
    <xf numFmtId="1" fontId="15" fillId="0" borderId="6" xfId="0" applyNumberFormat="1" applyFont="1" applyBorder="1" applyAlignment="1">
      <alignment horizontal="center"/>
    </xf>
    <xf numFmtId="165" fontId="6" fillId="0" borderId="0" xfId="2" applyNumberFormat="1"/>
    <xf numFmtId="164" fontId="0" fillId="0" borderId="0" xfId="0" applyNumberFormat="1"/>
    <xf numFmtId="168" fontId="0" fillId="0" borderId="0" xfId="0" applyNumberFormat="1"/>
    <xf numFmtId="165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right"/>
    </xf>
    <xf numFmtId="2" fontId="6" fillId="0" borderId="6" xfId="0" applyNumberFormat="1" applyFont="1" applyBorder="1" applyAlignment="1">
      <alignment horizontal="right"/>
    </xf>
    <xf numFmtId="0" fontId="6" fillId="0" borderId="11" xfId="0" applyFont="1" applyBorder="1"/>
    <xf numFmtId="0" fontId="0" fillId="0" borderId="11" xfId="0" applyBorder="1"/>
    <xf numFmtId="0" fontId="25" fillId="0" borderId="0" xfId="0" applyFont="1"/>
    <xf numFmtId="49" fontId="6" fillId="0" borderId="0" xfId="0" applyNumberFormat="1" applyFont="1"/>
    <xf numFmtId="0" fontId="13" fillId="0" borderId="0" xfId="2" applyFont="1"/>
    <xf numFmtId="0" fontId="15" fillId="0" borderId="0" xfId="2" applyFont="1"/>
    <xf numFmtId="2" fontId="6" fillId="0" borderId="0" xfId="2" applyNumberFormat="1"/>
    <xf numFmtId="165" fontId="0" fillId="0" borderId="6" xfId="0" applyNumberFormat="1" applyBorder="1"/>
    <xf numFmtId="165" fontId="0" fillId="0" borderId="11" xfId="0" applyNumberFormat="1" applyBorder="1"/>
    <xf numFmtId="1" fontId="15" fillId="0" borderId="11" xfId="0" applyNumberFormat="1" applyFont="1" applyBorder="1" applyAlignment="1">
      <alignment horizontal="left"/>
    </xf>
    <xf numFmtId="0" fontId="5" fillId="0" borderId="0" xfId="0" applyFont="1" applyFill="1" applyBorder="1"/>
    <xf numFmtId="0" fontId="5" fillId="0" borderId="6" xfId="0" applyFont="1" applyFill="1" applyBorder="1"/>
    <xf numFmtId="0" fontId="8" fillId="0" borderId="13" xfId="0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top"/>
    </xf>
    <xf numFmtId="165" fontId="8" fillId="0" borderId="14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/>
    <xf numFmtId="49" fontId="0" fillId="0" borderId="0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/>
    </xf>
    <xf numFmtId="0" fontId="29" fillId="0" borderId="0" xfId="0" applyFont="1" applyFill="1" applyBorder="1"/>
    <xf numFmtId="0" fontId="29" fillId="0" borderId="1" xfId="0" applyFont="1" applyFill="1" applyBorder="1"/>
    <xf numFmtId="0" fontId="31" fillId="0" borderId="0" xfId="2" applyFont="1"/>
    <xf numFmtId="0" fontId="0" fillId="0" borderId="0" xfId="0" applyFont="1"/>
    <xf numFmtId="0" fontId="31" fillId="0" borderId="0" xfId="2" applyFont="1" applyBorder="1"/>
    <xf numFmtId="0" fontId="0" fillId="0" borderId="0" xfId="0" applyFont="1" applyBorder="1"/>
    <xf numFmtId="165" fontId="0" fillId="0" borderId="0" xfId="0" applyNumberFormat="1" applyBorder="1"/>
    <xf numFmtId="1" fontId="15" fillId="0" borderId="0" xfId="0" applyNumberFormat="1" applyFont="1" applyBorder="1" applyAlignment="1">
      <alignment horizontal="left"/>
    </xf>
    <xf numFmtId="0" fontId="31" fillId="0" borderId="6" xfId="2" applyFont="1" applyBorder="1"/>
    <xf numFmtId="0" fontId="0" fillId="0" borderId="6" xfId="0" applyFont="1" applyBorder="1"/>
    <xf numFmtId="1" fontId="15" fillId="0" borderId="6" xfId="0" applyNumberFormat="1" applyFont="1" applyBorder="1" applyAlignment="1">
      <alignment horizontal="left"/>
    </xf>
    <xf numFmtId="1" fontId="15" fillId="0" borderId="0" xfId="0" applyNumberFormat="1" applyFont="1" applyAlignment="1">
      <alignment horizontal="right"/>
    </xf>
    <xf numFmtId="0" fontId="5" fillId="0" borderId="0" xfId="0" applyFont="1"/>
    <xf numFmtId="2" fontId="5" fillId="0" borderId="0" xfId="0" applyNumberFormat="1" applyFont="1"/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2" fontId="6" fillId="0" borderId="5" xfId="0" applyNumberFormat="1" applyFont="1" applyBorder="1" applyAlignment="1">
      <alignment horizontal="left"/>
    </xf>
    <xf numFmtId="2" fontId="5" fillId="0" borderId="5" xfId="0" applyNumberFormat="1" applyFont="1" applyBorder="1" applyAlignment="1">
      <alignment horizontal="right"/>
    </xf>
    <xf numFmtId="0" fontId="5" fillId="0" borderId="5" xfId="0" applyFont="1" applyBorder="1"/>
    <xf numFmtId="2" fontId="6" fillId="0" borderId="5" xfId="0" applyNumberFormat="1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0" fillId="0" borderId="0" xfId="0" applyAlignment="1">
      <alignment horizontal="center"/>
    </xf>
    <xf numFmtId="0" fontId="13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left"/>
    </xf>
    <xf numFmtId="1" fontId="15" fillId="0" borderId="10" xfId="0" applyNumberFormat="1" applyFont="1" applyFill="1" applyBorder="1" applyAlignment="1">
      <alignment horizontal="center"/>
    </xf>
    <xf numFmtId="0" fontId="6" fillId="0" borderId="0" xfId="0" applyFont="1" applyBorder="1"/>
    <xf numFmtId="2" fontId="15" fillId="0" borderId="0" xfId="0" applyNumberFormat="1" applyFont="1" applyAlignment="1">
      <alignment horizontal="left"/>
    </xf>
    <xf numFmtId="2" fontId="15" fillId="0" borderId="0" xfId="0" applyNumberFormat="1" applyFont="1"/>
    <xf numFmtId="49" fontId="8" fillId="0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6" fontId="8" fillId="0" borderId="3" xfId="1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2" fontId="0" fillId="0" borderId="3" xfId="0" applyNumberForma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0" fontId="0" fillId="0" borderId="3" xfId="0" applyFill="1" applyBorder="1"/>
    <xf numFmtId="2" fontId="5" fillId="0" borderId="3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wrapText="1"/>
    </xf>
    <xf numFmtId="2" fontId="2" fillId="0" borderId="3" xfId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1" fontId="15" fillId="0" borderId="4" xfId="0" applyNumberFormat="1" applyFont="1" applyFill="1" applyBorder="1" applyAlignment="1">
      <alignment horizontal="center"/>
    </xf>
    <xf numFmtId="164" fontId="5" fillId="0" borderId="3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8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0" fillId="0" borderId="2" xfId="0" applyFill="1" applyBorder="1"/>
    <xf numFmtId="0" fontId="5" fillId="0" borderId="1" xfId="0" applyFont="1" applyFill="1" applyBorder="1" applyAlignment="1">
      <alignment wrapText="1"/>
    </xf>
    <xf numFmtId="165" fontId="0" fillId="0" borderId="3" xfId="0" applyNumberForma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/>
    <xf numFmtId="49" fontId="8" fillId="0" borderId="1" xfId="0" applyNumberFormat="1" applyFont="1" applyFill="1" applyBorder="1"/>
    <xf numFmtId="0" fontId="5" fillId="0" borderId="3" xfId="0" applyFont="1" applyFill="1" applyBorder="1" applyAlignment="1">
      <alignment horizontal="center"/>
    </xf>
    <xf numFmtId="165" fontId="5" fillId="0" borderId="15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center"/>
    </xf>
    <xf numFmtId="165" fontId="19" fillId="0" borderId="3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top"/>
    </xf>
    <xf numFmtId="1" fontId="6" fillId="0" borderId="1" xfId="2" applyNumberFormat="1" applyFont="1" applyFill="1" applyBorder="1" applyAlignment="1">
      <alignment horizontal="center" vertical="top"/>
    </xf>
    <xf numFmtId="165" fontId="6" fillId="0" borderId="3" xfId="2" applyNumberFormat="1" applyFont="1" applyFill="1" applyBorder="1" applyAlignment="1">
      <alignment horizontal="center" vertical="top"/>
    </xf>
    <xf numFmtId="165" fontId="0" fillId="0" borderId="3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wrapText="1"/>
    </xf>
    <xf numFmtId="1" fontId="0" fillId="0" borderId="15" xfId="0" applyNumberForma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wrapText="1"/>
    </xf>
    <xf numFmtId="166" fontId="8" fillId="0" borderId="3" xfId="0" applyNumberFormat="1" applyFont="1" applyFill="1" applyBorder="1"/>
    <xf numFmtId="166" fontId="5" fillId="0" borderId="3" xfId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66" fontId="24" fillId="0" borderId="3" xfId="0" applyNumberFormat="1" applyFont="1" applyFill="1" applyBorder="1"/>
    <xf numFmtId="0" fontId="8" fillId="0" borderId="1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169" fontId="5" fillId="0" borderId="3" xfId="1" applyNumberFormat="1" applyFont="1" applyFill="1" applyBorder="1" applyAlignment="1">
      <alignment horizontal="center" vertical="center"/>
    </xf>
    <xf numFmtId="167" fontId="5" fillId="0" borderId="3" xfId="1" applyNumberFormat="1" applyFont="1" applyFill="1" applyBorder="1" applyAlignment="1">
      <alignment horizontal="center" vertical="center"/>
    </xf>
    <xf numFmtId="164" fontId="2" fillId="0" borderId="3" xfId="1" applyFont="1" applyFill="1" applyBorder="1" applyAlignment="1">
      <alignment horizontal="center" vertical="center"/>
    </xf>
    <xf numFmtId="166" fontId="8" fillId="0" borderId="3" xfId="1" applyNumberFormat="1" applyFont="1" applyFill="1" applyBorder="1" applyAlignment="1"/>
    <xf numFmtId="166" fontId="5" fillId="0" borderId="3" xfId="1" applyNumberFormat="1" applyFont="1" applyFill="1" applyBorder="1" applyAlignment="1"/>
    <xf numFmtId="166" fontId="5" fillId="0" borderId="15" xfId="0" applyNumberFormat="1" applyFont="1" applyFill="1" applyBorder="1" applyAlignment="1"/>
    <xf numFmtId="49" fontId="6" fillId="0" borderId="0" xfId="0" applyNumberFormat="1" applyFont="1" applyFill="1" applyBorder="1" applyAlignment="1">
      <alignment wrapText="1"/>
    </xf>
    <xf numFmtId="165" fontId="6" fillId="0" borderId="15" xfId="0" applyNumberFormat="1" applyFont="1" applyFill="1" applyBorder="1" applyAlignment="1">
      <alignment horizontal="center"/>
    </xf>
    <xf numFmtId="49" fontId="6" fillId="0" borderId="0" xfId="0" applyNumberFormat="1" applyFont="1" applyFill="1" applyBorder="1"/>
    <xf numFmtId="165" fontId="5" fillId="0" borderId="3" xfId="0" applyNumberFormat="1" applyFont="1" applyFill="1" applyBorder="1" applyAlignment="1">
      <alignment horizontal="center"/>
    </xf>
    <xf numFmtId="164" fontId="8" fillId="0" borderId="3" xfId="1" applyFont="1" applyFill="1" applyBorder="1" applyAlignment="1">
      <alignment horizontal="center" vertical="center"/>
    </xf>
    <xf numFmtId="0" fontId="5" fillId="0" borderId="2" xfId="0" applyFont="1" applyFill="1" applyBorder="1"/>
    <xf numFmtId="0" fontId="5" fillId="0" borderId="3" xfId="0" applyFont="1" applyFill="1" applyBorder="1"/>
    <xf numFmtId="49" fontId="30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2" fillId="0" borderId="1" xfId="0" applyFont="1" applyFill="1" applyBorder="1"/>
    <xf numFmtId="0" fontId="5" fillId="0" borderId="16" xfId="0" applyFont="1" applyFill="1" applyBorder="1"/>
    <xf numFmtId="0" fontId="5" fillId="0" borderId="4" xfId="0" applyFont="1" applyFill="1" applyBorder="1"/>
    <xf numFmtId="0" fontId="5" fillId="0" borderId="17" xfId="0" applyFont="1" applyFill="1" applyBorder="1"/>
    <xf numFmtId="49" fontId="2" fillId="0" borderId="0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vertical="top"/>
    </xf>
    <xf numFmtId="164" fontId="0" fillId="0" borderId="15" xfId="0" applyNumberFormat="1" applyFill="1" applyBorder="1"/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74"/>
  <sheetViews>
    <sheetView tabSelected="1" topLeftCell="B1" zoomScaleNormal="100" workbookViewId="0">
      <selection activeCell="L275" sqref="L275"/>
    </sheetView>
  </sheetViews>
  <sheetFormatPr defaultRowHeight="15" x14ac:dyDescent="0.25"/>
  <cols>
    <col min="1" max="1" width="2.85546875" customWidth="1"/>
    <col min="3" max="3" width="53" customWidth="1"/>
    <col min="4" max="4" width="11" customWidth="1"/>
    <col min="5" max="5" width="15" customWidth="1"/>
    <col min="7" max="7" width="12.85546875" bestFit="1" customWidth="1"/>
  </cols>
  <sheetData>
    <row r="1" spans="2:5" ht="15.75" x14ac:dyDescent="0.25">
      <c r="B1" s="204" t="s">
        <v>37</v>
      </c>
      <c r="C1" s="205"/>
      <c r="D1" s="38"/>
      <c r="E1" s="38"/>
    </row>
    <row r="2" spans="2:5" ht="15.75" x14ac:dyDescent="0.25">
      <c r="B2" s="204" t="s">
        <v>38</v>
      </c>
      <c r="C2" s="205"/>
      <c r="D2" s="38"/>
      <c r="E2" s="38"/>
    </row>
    <row r="3" spans="2:5" s="1" customFormat="1" ht="15.75" x14ac:dyDescent="0.25">
      <c r="B3" s="204"/>
      <c r="C3" s="205"/>
      <c r="D3" s="38"/>
      <c r="E3" s="38"/>
    </row>
    <row r="4" spans="2:5" s="1" customFormat="1" ht="15.75" x14ac:dyDescent="0.25">
      <c r="B4" s="206" t="s">
        <v>1</v>
      </c>
      <c r="C4" s="205"/>
      <c r="D4" s="38"/>
      <c r="E4" s="38"/>
    </row>
    <row r="5" spans="2:5" s="1" customFormat="1" ht="15.75" x14ac:dyDescent="0.25">
      <c r="B5" s="206" t="s">
        <v>2</v>
      </c>
      <c r="C5" s="205"/>
      <c r="D5" s="38"/>
      <c r="E5" s="38"/>
    </row>
    <row r="6" spans="2:5" x14ac:dyDescent="0.25">
      <c r="B6" s="10" t="s">
        <v>39</v>
      </c>
      <c r="C6" s="38"/>
      <c r="D6" s="38"/>
      <c r="E6" s="38"/>
    </row>
    <row r="7" spans="2:5" s="1" customFormat="1" x14ac:dyDescent="0.25">
      <c r="B7" s="38"/>
      <c r="C7" s="38"/>
      <c r="D7" s="38"/>
      <c r="E7" s="38"/>
    </row>
    <row r="8" spans="2:5" ht="15.75" x14ac:dyDescent="0.25">
      <c r="B8" s="207" t="s">
        <v>40</v>
      </c>
      <c r="C8" s="208"/>
      <c r="D8" s="38"/>
      <c r="E8" s="38"/>
    </row>
    <row r="9" spans="2:5" s="1" customFormat="1" x14ac:dyDescent="0.25">
      <c r="B9" s="38"/>
      <c r="C9" s="208"/>
      <c r="D9" s="38"/>
      <c r="E9" s="38"/>
    </row>
    <row r="10" spans="2:5" ht="18" x14ac:dyDescent="0.25">
      <c r="B10" s="209" t="s">
        <v>0</v>
      </c>
      <c r="C10" s="208"/>
      <c r="D10" s="38"/>
      <c r="E10" s="38"/>
    </row>
    <row r="11" spans="2:5" ht="15.75" thickBot="1" x14ac:dyDescent="0.3">
      <c r="B11" s="38"/>
      <c r="C11" s="208"/>
      <c r="D11" s="38"/>
      <c r="E11" s="38"/>
    </row>
    <row r="12" spans="2:5" ht="15.75" thickBot="1" x14ac:dyDescent="0.3">
      <c r="B12" s="147" t="s">
        <v>3</v>
      </c>
      <c r="C12" s="148" t="s">
        <v>4</v>
      </c>
      <c r="D12" s="148" t="s">
        <v>5</v>
      </c>
      <c r="E12" s="149" t="s">
        <v>9</v>
      </c>
    </row>
    <row r="13" spans="2:5" x14ac:dyDescent="0.25">
      <c r="B13" s="150">
        <v>1</v>
      </c>
      <c r="C13" s="151" t="s">
        <v>12</v>
      </c>
      <c r="D13" s="137"/>
      <c r="E13" s="152"/>
    </row>
    <row r="14" spans="2:5" x14ac:dyDescent="0.25">
      <c r="B14" s="139"/>
      <c r="C14" s="41" t="s">
        <v>70</v>
      </c>
      <c r="D14" s="3"/>
      <c r="E14" s="140"/>
    </row>
    <row r="15" spans="2:5" s="1" customFormat="1" ht="17.25" x14ac:dyDescent="0.25">
      <c r="B15" s="36" t="s">
        <v>13</v>
      </c>
      <c r="C15" s="41" t="s">
        <v>85</v>
      </c>
      <c r="D15" s="187" t="s">
        <v>69</v>
      </c>
      <c r="E15" s="138">
        <f>SUM(E16:E22)</f>
        <v>1653.9950000000001</v>
      </c>
    </row>
    <row r="16" spans="2:5" s="1" customFormat="1" ht="120" x14ac:dyDescent="0.25">
      <c r="B16" s="210"/>
      <c r="C16" s="211" t="s">
        <v>388</v>
      </c>
      <c r="D16" s="12" t="s">
        <v>41</v>
      </c>
      <c r="E16" s="46">
        <f>(0.8 +0.75)*987.5</f>
        <v>1530.625</v>
      </c>
    </row>
    <row r="17" spans="2:8" s="1" customFormat="1" ht="30" x14ac:dyDescent="0.25">
      <c r="B17" s="139"/>
      <c r="C17" s="33" t="s">
        <v>101</v>
      </c>
      <c r="D17" s="12" t="s">
        <v>41</v>
      </c>
      <c r="E17" s="212">
        <f>2*7.4*0.2*17.7</f>
        <v>52.392000000000003</v>
      </c>
    </row>
    <row r="18" spans="2:8" s="1" customFormat="1" ht="17.25" x14ac:dyDescent="0.25">
      <c r="B18" s="139"/>
      <c r="C18" s="11" t="s">
        <v>86</v>
      </c>
      <c r="D18" s="12" t="s">
        <v>41</v>
      </c>
      <c r="E18" s="212">
        <f xml:space="preserve">  10*0.2*17.7</f>
        <v>35.4</v>
      </c>
    </row>
    <row r="19" spans="2:8" s="1" customFormat="1" ht="17.25" x14ac:dyDescent="0.25">
      <c r="B19" s="139"/>
      <c r="C19" s="33" t="s">
        <v>87</v>
      </c>
      <c r="D19" s="12" t="s">
        <v>41</v>
      </c>
      <c r="E19" s="212">
        <f>0.2*5.5 *5.5</f>
        <v>6.0500000000000007</v>
      </c>
    </row>
    <row r="20" spans="2:8" s="1" customFormat="1" ht="17.25" x14ac:dyDescent="0.25">
      <c r="B20" s="139"/>
      <c r="C20" s="33" t="s">
        <v>88</v>
      </c>
      <c r="D20" s="12" t="s">
        <v>41</v>
      </c>
      <c r="E20" s="212">
        <f>1.7*5.5</f>
        <v>9.35</v>
      </c>
    </row>
    <row r="21" spans="2:8" s="1" customFormat="1" ht="45" x14ac:dyDescent="0.25">
      <c r="B21" s="139"/>
      <c r="C21" s="33" t="s">
        <v>102</v>
      </c>
      <c r="D21" s="12" t="s">
        <v>41</v>
      </c>
      <c r="E21" s="141">
        <f xml:space="preserve"> 2*0.5*17.7</f>
        <v>17.7</v>
      </c>
    </row>
    <row r="22" spans="2:8" s="1" customFormat="1" x14ac:dyDescent="0.25">
      <c r="B22" s="139"/>
      <c r="C22" s="11" t="s">
        <v>72</v>
      </c>
      <c r="D22" s="3"/>
      <c r="E22" s="141">
        <f>2*0.7*0.1*17.7</f>
        <v>2.4779999999999998</v>
      </c>
    </row>
    <row r="23" spans="2:8" s="1" customFormat="1" ht="30" x14ac:dyDescent="0.25">
      <c r="B23" s="36" t="s">
        <v>14</v>
      </c>
      <c r="C23" s="213" t="s">
        <v>71</v>
      </c>
      <c r="D23" s="12" t="s">
        <v>7</v>
      </c>
      <c r="E23" s="141">
        <f>2*1013</f>
        <v>2026</v>
      </c>
    </row>
    <row r="24" spans="2:8" s="1" customFormat="1" ht="81" customHeight="1" x14ac:dyDescent="0.25">
      <c r="B24" s="36" t="s">
        <v>15</v>
      </c>
      <c r="C24" s="213" t="s">
        <v>377</v>
      </c>
      <c r="D24" s="12"/>
      <c r="E24" s="141"/>
    </row>
    <row r="25" spans="2:8" s="1" customFormat="1" x14ac:dyDescent="0.25">
      <c r="B25" s="36" t="s">
        <v>77</v>
      </c>
      <c r="C25" s="214" t="s">
        <v>73</v>
      </c>
      <c r="D25" s="12" t="s">
        <v>17</v>
      </c>
      <c r="E25" s="142">
        <v>520</v>
      </c>
      <c r="G25" s="35"/>
    </row>
    <row r="26" spans="2:8" s="1" customFormat="1" x14ac:dyDescent="0.25">
      <c r="B26" s="36" t="s">
        <v>78</v>
      </c>
      <c r="C26" s="214" t="s">
        <v>74</v>
      </c>
      <c r="D26" s="12" t="s">
        <v>17</v>
      </c>
      <c r="E26" s="142">
        <v>260</v>
      </c>
    </row>
    <row r="27" spans="2:8" s="1" customFormat="1" x14ac:dyDescent="0.25">
      <c r="B27" s="36" t="s">
        <v>79</v>
      </c>
      <c r="C27" s="214" t="s">
        <v>75</v>
      </c>
      <c r="D27" s="12" t="s">
        <v>17</v>
      </c>
      <c r="E27" s="142">
        <v>87</v>
      </c>
      <c r="H27" s="35"/>
    </row>
    <row r="28" spans="2:8" s="1" customFormat="1" x14ac:dyDescent="0.25">
      <c r="B28" s="36" t="s">
        <v>80</v>
      </c>
      <c r="C28" s="214" t="s">
        <v>76</v>
      </c>
      <c r="D28" s="12" t="s">
        <v>17</v>
      </c>
      <c r="E28" s="142">
        <v>2</v>
      </c>
      <c r="G28" s="35"/>
    </row>
    <row r="29" spans="2:8" s="1" customFormat="1" ht="45" x14ac:dyDescent="0.25">
      <c r="B29" s="36"/>
      <c r="C29" s="37" t="s">
        <v>374</v>
      </c>
      <c r="D29" s="12"/>
      <c r="E29" s="141"/>
      <c r="F29" s="38"/>
    </row>
    <row r="30" spans="2:8" s="1" customFormat="1" ht="51" x14ac:dyDescent="0.25">
      <c r="B30" s="143" t="s">
        <v>81</v>
      </c>
      <c r="C30" s="39" t="s">
        <v>84</v>
      </c>
      <c r="D30" s="12" t="s">
        <v>82</v>
      </c>
      <c r="E30" s="141">
        <f>7010*0.5</f>
        <v>3505</v>
      </c>
      <c r="F30" s="38"/>
    </row>
    <row r="31" spans="2:8" s="1" customFormat="1" x14ac:dyDescent="0.25">
      <c r="B31" s="144"/>
      <c r="C31" s="40"/>
      <c r="D31" s="3"/>
      <c r="E31" s="140"/>
      <c r="F31" s="38"/>
      <c r="G31" s="34"/>
    </row>
    <row r="32" spans="2:8" x14ac:dyDescent="0.25">
      <c r="B32" s="36"/>
      <c r="C32" s="41" t="s">
        <v>83</v>
      </c>
      <c r="D32" s="12"/>
      <c r="E32" s="141"/>
      <c r="F32" s="38"/>
    </row>
    <row r="33" spans="2:5" ht="17.25" x14ac:dyDescent="0.25">
      <c r="B33" s="36" t="s">
        <v>345</v>
      </c>
      <c r="C33" s="45" t="s">
        <v>89</v>
      </c>
      <c r="D33" s="12" t="s">
        <v>41</v>
      </c>
      <c r="E33" s="141">
        <f>0.99*987.5</f>
        <v>977.625</v>
      </c>
    </row>
    <row r="34" spans="2:5" s="1" customFormat="1" x14ac:dyDescent="0.25">
      <c r="B34" s="36"/>
      <c r="C34" s="11" t="s">
        <v>379</v>
      </c>
      <c r="D34" s="12"/>
      <c r="E34" s="141"/>
    </row>
    <row r="35" spans="2:5" s="1" customFormat="1" x14ac:dyDescent="0.25">
      <c r="B35" s="139"/>
      <c r="C35" s="5"/>
      <c r="D35" s="3"/>
      <c r="E35" s="140"/>
    </row>
    <row r="36" spans="2:5" x14ac:dyDescent="0.25">
      <c r="B36" s="186">
        <v>2</v>
      </c>
      <c r="C36" s="41" t="s">
        <v>6</v>
      </c>
      <c r="D36" s="12"/>
      <c r="E36" s="141"/>
    </row>
    <row r="37" spans="2:5" s="1" customFormat="1" x14ac:dyDescent="0.25">
      <c r="B37" s="186"/>
      <c r="C37" s="41" t="s">
        <v>42</v>
      </c>
      <c r="D37" s="12"/>
      <c r="E37" s="141"/>
    </row>
    <row r="38" spans="2:5" s="1" customFormat="1" x14ac:dyDescent="0.25">
      <c r="B38" s="186" t="s">
        <v>10</v>
      </c>
      <c r="C38" s="215" t="s">
        <v>305</v>
      </c>
      <c r="D38" s="45"/>
      <c r="E38" s="216"/>
    </row>
    <row r="39" spans="2:5" s="1" customFormat="1" ht="17.25" x14ac:dyDescent="0.25">
      <c r="B39" s="36" t="s">
        <v>90</v>
      </c>
      <c r="C39" s="214" t="s">
        <v>91</v>
      </c>
      <c r="D39" s="187" t="s">
        <v>69</v>
      </c>
      <c r="E39" s="138">
        <f>SUM(E40:E43)</f>
        <v>3620.576</v>
      </c>
    </row>
    <row r="40" spans="2:5" s="1" customFormat="1" ht="30" x14ac:dyDescent="0.25">
      <c r="B40" s="36"/>
      <c r="C40" s="37" t="s">
        <v>92</v>
      </c>
      <c r="D40" s="12" t="s">
        <v>41</v>
      </c>
      <c r="E40" s="141">
        <f xml:space="preserve"> (1.6+1.98)*987.5</f>
        <v>3535.25</v>
      </c>
    </row>
    <row r="41" spans="2:5" s="1" customFormat="1" ht="30" x14ac:dyDescent="0.25">
      <c r="B41" s="36"/>
      <c r="C41" s="37" t="s">
        <v>107</v>
      </c>
      <c r="D41" s="12" t="s">
        <v>41</v>
      </c>
      <c r="E41" s="217">
        <f>1.62*8.3</f>
        <v>13.446000000000002</v>
      </c>
    </row>
    <row r="42" spans="2:5" s="1" customFormat="1" ht="19.5" customHeight="1" x14ac:dyDescent="0.25">
      <c r="B42" s="36"/>
      <c r="C42" s="218" t="s">
        <v>94</v>
      </c>
      <c r="D42" s="12" t="s">
        <v>41</v>
      </c>
      <c r="E42" s="219">
        <f xml:space="preserve"> 2*14.7</f>
        <v>29.4</v>
      </c>
    </row>
    <row r="43" spans="2:5" s="1" customFormat="1" ht="19.5" customHeight="1" x14ac:dyDescent="0.25">
      <c r="B43" s="36"/>
      <c r="C43" s="218" t="s">
        <v>97</v>
      </c>
      <c r="D43" s="12" t="s">
        <v>41</v>
      </c>
      <c r="E43" s="219">
        <f xml:space="preserve"> 2*1.2*17.7</f>
        <v>42.48</v>
      </c>
    </row>
    <row r="44" spans="2:5" s="1" customFormat="1" ht="19.5" customHeight="1" x14ac:dyDescent="0.25">
      <c r="B44" s="36"/>
      <c r="C44" s="218"/>
      <c r="D44" s="12"/>
      <c r="E44" s="219"/>
    </row>
    <row r="45" spans="2:5" s="1" customFormat="1" ht="18" x14ac:dyDescent="0.25">
      <c r="B45" s="36" t="s">
        <v>93</v>
      </c>
      <c r="C45" s="214" t="s">
        <v>306</v>
      </c>
      <c r="D45" s="220" t="s">
        <v>103</v>
      </c>
      <c r="E45" s="221">
        <f>SUM(E46:E49)</f>
        <v>196.88</v>
      </c>
    </row>
    <row r="46" spans="2:5" s="1" customFormat="1" ht="30" x14ac:dyDescent="0.25">
      <c r="B46" s="36"/>
      <c r="C46" s="37" t="s">
        <v>367</v>
      </c>
      <c r="D46" s="12" t="s">
        <v>41</v>
      </c>
      <c r="E46" s="141">
        <f xml:space="preserve"> 2.52*2.5*14</f>
        <v>88.2</v>
      </c>
    </row>
    <row r="47" spans="2:5" s="1" customFormat="1" ht="30" x14ac:dyDescent="0.25">
      <c r="B47" s="36"/>
      <c r="C47" s="37" t="s">
        <v>95</v>
      </c>
      <c r="D47" s="12"/>
      <c r="E47" s="141"/>
    </row>
    <row r="48" spans="2:5" s="1" customFormat="1" ht="17.25" x14ac:dyDescent="0.25">
      <c r="B48" s="222"/>
      <c r="C48" s="218" t="s">
        <v>100</v>
      </c>
      <c r="D48" s="12" t="s">
        <v>41</v>
      </c>
      <c r="E48" s="141">
        <f xml:space="preserve"> 3.2 *14.7+ 4.7*5.2</f>
        <v>71.48</v>
      </c>
    </row>
    <row r="49" spans="2:11" s="1" customFormat="1" ht="17.25" x14ac:dyDescent="0.25">
      <c r="B49" s="222"/>
      <c r="C49" s="218" t="s">
        <v>380</v>
      </c>
      <c r="D49" s="12" t="s">
        <v>41</v>
      </c>
      <c r="E49" s="141">
        <f>(4.5+1.7)*6</f>
        <v>37.200000000000003</v>
      </c>
    </row>
    <row r="50" spans="2:11" s="1" customFormat="1" x14ac:dyDescent="0.25">
      <c r="B50" s="222"/>
      <c r="C50" s="218"/>
      <c r="D50" s="12"/>
      <c r="E50" s="141"/>
    </row>
    <row r="51" spans="2:11" s="1" customFormat="1" x14ac:dyDescent="0.25">
      <c r="B51" s="36" t="s">
        <v>96</v>
      </c>
      <c r="C51" s="215" t="s">
        <v>389</v>
      </c>
      <c r="D51" s="187"/>
      <c r="E51" s="141"/>
      <c r="G51" s="34"/>
    </row>
    <row r="52" spans="2:11" s="1" customFormat="1" ht="47.25" x14ac:dyDescent="0.25">
      <c r="B52" s="222"/>
      <c r="C52" s="218" t="s">
        <v>231</v>
      </c>
      <c r="D52" s="12" t="s">
        <v>41</v>
      </c>
      <c r="E52" s="138">
        <f xml:space="preserve"> 10.5*5.5</f>
        <v>57.75</v>
      </c>
    </row>
    <row r="53" spans="2:11" s="1" customFormat="1" x14ac:dyDescent="0.25">
      <c r="B53" s="222"/>
      <c r="C53" s="218"/>
      <c r="D53" s="12"/>
      <c r="E53" s="141"/>
      <c r="I53" s="42"/>
    </row>
    <row r="54" spans="2:11" s="1" customFormat="1" ht="30" x14ac:dyDescent="0.25">
      <c r="B54" s="36" t="s">
        <v>98</v>
      </c>
      <c r="C54" s="218" t="s">
        <v>326</v>
      </c>
      <c r="D54" s="12" t="s">
        <v>99</v>
      </c>
      <c r="E54" s="141">
        <v>1</v>
      </c>
    </row>
    <row r="55" spans="2:11" s="1" customFormat="1" x14ac:dyDescent="0.25">
      <c r="B55" s="222"/>
      <c r="C55" s="218" t="s">
        <v>232</v>
      </c>
      <c r="D55" s="12"/>
      <c r="E55" s="141"/>
    </row>
    <row r="56" spans="2:11" s="1" customFormat="1" x14ac:dyDescent="0.25">
      <c r="B56" s="222"/>
      <c r="C56" s="218"/>
      <c r="D56" s="12"/>
      <c r="E56" s="141"/>
    </row>
    <row r="57" spans="2:11" s="1" customFormat="1" ht="27.75" x14ac:dyDescent="0.25">
      <c r="B57" s="223" t="s">
        <v>104</v>
      </c>
      <c r="C57" s="218" t="s">
        <v>233</v>
      </c>
      <c r="D57" s="224" t="s">
        <v>7</v>
      </c>
      <c r="E57" s="225">
        <v>4.4000000000000004</v>
      </c>
      <c r="F57" s="43"/>
      <c r="G57" s="43"/>
      <c r="H57" s="43"/>
      <c r="I57" s="43"/>
      <c r="J57" s="43"/>
      <c r="K57" s="44"/>
    </row>
    <row r="58" spans="2:11" s="1" customFormat="1" x14ac:dyDescent="0.25">
      <c r="B58" s="223"/>
      <c r="C58" s="218"/>
      <c r="D58" s="224"/>
      <c r="E58" s="225"/>
      <c r="F58" s="43"/>
      <c r="G58" s="43"/>
      <c r="H58" s="43"/>
      <c r="I58" s="43"/>
      <c r="J58" s="43"/>
      <c r="K58" s="44"/>
    </row>
    <row r="59" spans="2:11" ht="17.25" x14ac:dyDescent="0.25">
      <c r="B59" s="36" t="s">
        <v>11</v>
      </c>
      <c r="C59" s="215" t="s">
        <v>105</v>
      </c>
      <c r="D59" s="12" t="s">
        <v>41</v>
      </c>
      <c r="E59" s="226">
        <f>SUM(E60:E64)</f>
        <v>1341.3599999999997</v>
      </c>
    </row>
    <row r="60" spans="2:11" ht="30" x14ac:dyDescent="0.25">
      <c r="B60" s="36"/>
      <c r="C60" s="37" t="s">
        <v>106</v>
      </c>
      <c r="D60" s="12" t="s">
        <v>41</v>
      </c>
      <c r="E60" s="46">
        <f>(0.6+0.72)*987.5</f>
        <v>1303.4999999999998</v>
      </c>
    </row>
    <row r="61" spans="2:11" s="1" customFormat="1" ht="32.25" x14ac:dyDescent="0.25">
      <c r="B61" s="36"/>
      <c r="C61" s="37" t="s">
        <v>108</v>
      </c>
      <c r="D61" s="12" t="s">
        <v>41</v>
      </c>
      <c r="E61" s="46">
        <f>0.6*8.5</f>
        <v>5.0999999999999996</v>
      </c>
    </row>
    <row r="62" spans="2:11" s="1" customFormat="1" ht="30" x14ac:dyDescent="0.25">
      <c r="B62" s="36"/>
      <c r="C62" s="211" t="s">
        <v>109</v>
      </c>
      <c r="D62" s="12" t="s">
        <v>41</v>
      </c>
      <c r="E62" s="141">
        <f>0.4*4*15.3+0.45*2*5.2</f>
        <v>29.160000000000004</v>
      </c>
    </row>
    <row r="63" spans="2:11" s="1" customFormat="1" ht="30" x14ac:dyDescent="0.25">
      <c r="B63" s="36"/>
      <c r="C63" s="211" t="s">
        <v>234</v>
      </c>
      <c r="D63" s="12" t="s">
        <v>41</v>
      </c>
      <c r="E63" s="141">
        <f>0.8*4.5</f>
        <v>3.6</v>
      </c>
    </row>
    <row r="64" spans="2:11" s="1" customFormat="1" x14ac:dyDescent="0.25">
      <c r="B64" s="36"/>
      <c r="C64" s="37"/>
      <c r="D64" s="12"/>
      <c r="E64" s="46"/>
    </row>
    <row r="65" spans="2:12" s="1" customFormat="1" x14ac:dyDescent="0.25">
      <c r="B65" s="36"/>
      <c r="C65" s="45"/>
      <c r="D65" s="3"/>
      <c r="E65" s="145"/>
    </row>
    <row r="66" spans="2:12" ht="45" x14ac:dyDescent="0.25">
      <c r="B66" s="36" t="s">
        <v>16</v>
      </c>
      <c r="C66" s="227" t="s">
        <v>110</v>
      </c>
      <c r="D66" s="12" t="s">
        <v>41</v>
      </c>
      <c r="E66" s="46">
        <f>E67+E70</f>
        <v>1543.15</v>
      </c>
    </row>
    <row r="67" spans="2:12" x14ac:dyDescent="0.25">
      <c r="B67" s="139"/>
      <c r="C67" s="45" t="s">
        <v>381</v>
      </c>
      <c r="D67" s="12"/>
      <c r="E67" s="46">
        <f>(0.77+0.77)*987.5</f>
        <v>1520.75</v>
      </c>
      <c r="F67" s="38"/>
    </row>
    <row r="68" spans="2:12" x14ac:dyDescent="0.25">
      <c r="B68" s="139"/>
      <c r="C68" s="45"/>
      <c r="D68" s="12"/>
      <c r="E68" s="46"/>
      <c r="F68" s="38"/>
      <c r="J68" s="1"/>
      <c r="K68" s="1"/>
      <c r="L68" s="1"/>
    </row>
    <row r="69" spans="2:12" x14ac:dyDescent="0.25">
      <c r="B69" s="139"/>
      <c r="C69" s="45"/>
      <c r="D69" s="3"/>
      <c r="E69" s="145"/>
      <c r="F69" s="38"/>
      <c r="J69" s="1"/>
      <c r="K69" s="1"/>
      <c r="L69" s="1"/>
    </row>
    <row r="70" spans="2:12" s="1" customFormat="1" ht="30" x14ac:dyDescent="0.25">
      <c r="B70" s="139"/>
      <c r="C70" s="37" t="s">
        <v>368</v>
      </c>
      <c r="D70" s="12" t="s">
        <v>41</v>
      </c>
      <c r="E70" s="46">
        <f>0.5*3.2*14</f>
        <v>22.400000000000002</v>
      </c>
      <c r="F70" s="38"/>
    </row>
    <row r="71" spans="2:12" s="1" customFormat="1" x14ac:dyDescent="0.25">
      <c r="B71" s="139"/>
      <c r="C71" s="214" t="s">
        <v>369</v>
      </c>
      <c r="D71" s="12"/>
      <c r="E71" s="46"/>
      <c r="F71" s="38"/>
    </row>
    <row r="72" spans="2:12" s="1" customFormat="1" x14ac:dyDescent="0.25">
      <c r="B72" s="139"/>
      <c r="C72" s="45"/>
      <c r="D72" s="3"/>
      <c r="E72" s="145"/>
      <c r="F72" s="38"/>
    </row>
    <row r="73" spans="2:12" ht="17.25" x14ac:dyDescent="0.25">
      <c r="B73" s="36" t="s">
        <v>18</v>
      </c>
      <c r="C73" s="45" t="s">
        <v>44</v>
      </c>
      <c r="D73" s="12" t="s">
        <v>41</v>
      </c>
      <c r="E73" s="228">
        <f>SUM(E74:E76)</f>
        <v>1671.5340000000001</v>
      </c>
      <c r="F73" s="38"/>
      <c r="J73" s="1"/>
      <c r="K73" s="1"/>
      <c r="L73" s="1"/>
    </row>
    <row r="74" spans="2:12" ht="17.25" x14ac:dyDescent="0.25">
      <c r="B74" s="36"/>
      <c r="C74" s="45" t="s">
        <v>111</v>
      </c>
      <c r="D74" s="12" t="s">
        <v>41</v>
      </c>
      <c r="E74" s="46">
        <f>(0.75+0.87)*987.5</f>
        <v>1599.75</v>
      </c>
      <c r="F74" s="38"/>
      <c r="J74" s="1"/>
      <c r="K74" s="1"/>
      <c r="L74" s="1"/>
    </row>
    <row r="75" spans="2:12" ht="17.25" x14ac:dyDescent="0.25">
      <c r="B75" s="47"/>
      <c r="C75" s="45" t="s">
        <v>112</v>
      </c>
      <c r="D75" s="12" t="s">
        <v>41</v>
      </c>
      <c r="E75" s="46">
        <f>0.75*6</f>
        <v>4.5</v>
      </c>
      <c r="F75" s="38"/>
    </row>
    <row r="76" spans="2:12" s="1" customFormat="1" ht="30" x14ac:dyDescent="0.25">
      <c r="B76" s="47"/>
      <c r="C76" s="37" t="s">
        <v>370</v>
      </c>
      <c r="D76" s="12" t="s">
        <v>41</v>
      </c>
      <c r="E76" s="141">
        <f>1.78*2.7*14</f>
        <v>67.284000000000006</v>
      </c>
      <c r="F76" s="49"/>
    </row>
    <row r="77" spans="2:12" s="1" customFormat="1" x14ac:dyDescent="0.25">
      <c r="B77" s="47"/>
      <c r="C77" s="37"/>
      <c r="D77" s="12"/>
      <c r="E77" s="141"/>
      <c r="F77" s="49"/>
    </row>
    <row r="78" spans="2:12" s="1" customFormat="1" ht="30" x14ac:dyDescent="0.25">
      <c r="B78" s="36" t="s">
        <v>19</v>
      </c>
      <c r="C78" s="211" t="s">
        <v>158</v>
      </c>
      <c r="D78" s="12"/>
      <c r="E78" s="141"/>
      <c r="F78" s="49"/>
    </row>
    <row r="79" spans="2:12" s="1" customFormat="1" ht="17.25" x14ac:dyDescent="0.25">
      <c r="B79" s="47"/>
      <c r="C79" s="45" t="s">
        <v>159</v>
      </c>
      <c r="D79" s="12" t="s">
        <v>41</v>
      </c>
      <c r="E79" s="229">
        <f>138.5-17.5</f>
        <v>121</v>
      </c>
      <c r="F79" s="49"/>
    </row>
    <row r="80" spans="2:12" s="1" customFormat="1" x14ac:dyDescent="0.25">
      <c r="B80" s="47"/>
      <c r="C80" s="45" t="s">
        <v>161</v>
      </c>
      <c r="D80" s="12"/>
      <c r="E80" s="141"/>
      <c r="F80" s="49"/>
    </row>
    <row r="81" spans="2:8" s="1" customFormat="1" x14ac:dyDescent="0.25">
      <c r="B81" s="36"/>
      <c r="C81" s="214" t="s">
        <v>6</v>
      </c>
      <c r="D81" s="48"/>
      <c r="E81" s="146"/>
      <c r="F81" s="38"/>
    </row>
    <row r="82" spans="2:8" s="1" customFormat="1" x14ac:dyDescent="0.25">
      <c r="B82" s="36"/>
      <c r="C82" s="214"/>
      <c r="D82" s="48"/>
      <c r="E82" s="146"/>
      <c r="F82" s="38"/>
    </row>
    <row r="83" spans="2:8" x14ac:dyDescent="0.25">
      <c r="B83" s="36"/>
      <c r="C83" s="41" t="s">
        <v>43</v>
      </c>
      <c r="D83" s="12"/>
      <c r="E83" s="141"/>
    </row>
    <row r="84" spans="2:8" ht="17.25" x14ac:dyDescent="0.25">
      <c r="B84" s="186" t="s">
        <v>20</v>
      </c>
      <c r="C84" s="41" t="s">
        <v>8</v>
      </c>
      <c r="D84" s="187" t="s">
        <v>69</v>
      </c>
      <c r="E84" s="230">
        <f>SUM(E85:E88)</f>
        <v>8404.5175000000017</v>
      </c>
    </row>
    <row r="85" spans="2:8" ht="17.25" x14ac:dyDescent="0.25">
      <c r="B85" s="36"/>
      <c r="C85" s="45" t="s">
        <v>371</v>
      </c>
      <c r="D85" s="12" t="s">
        <v>41</v>
      </c>
      <c r="E85" s="231">
        <f>7.54*987.5</f>
        <v>7445.75</v>
      </c>
    </row>
    <row r="86" spans="2:8" s="1" customFormat="1" x14ac:dyDescent="0.25">
      <c r="B86" s="36"/>
      <c r="C86" s="256" t="s">
        <v>390</v>
      </c>
      <c r="D86" s="12"/>
      <c r="E86" s="231">
        <f>13*17.7</f>
        <v>230.1</v>
      </c>
      <c r="H86" s="23"/>
    </row>
    <row r="87" spans="2:8" s="1" customFormat="1" ht="17.25" x14ac:dyDescent="0.25">
      <c r="B87" s="36"/>
      <c r="C87" s="45" t="s">
        <v>132</v>
      </c>
      <c r="D87" s="12" t="s">
        <v>41</v>
      </c>
      <c r="E87" s="141">
        <f>sjezdy!E38</f>
        <v>527.90499999999997</v>
      </c>
      <c r="H87" s="23"/>
    </row>
    <row r="88" spans="2:8" s="1" customFormat="1" ht="17.25" x14ac:dyDescent="0.25">
      <c r="B88" s="36"/>
      <c r="C88" s="45" t="s">
        <v>131</v>
      </c>
      <c r="D88" s="12" t="s">
        <v>41</v>
      </c>
      <c r="E88" s="141">
        <f>sjezdy!E97</f>
        <v>200.76250000000002</v>
      </c>
      <c r="H88" s="23"/>
    </row>
    <row r="89" spans="2:8" s="1" customFormat="1" x14ac:dyDescent="0.25">
      <c r="B89" s="36"/>
      <c r="C89" s="45"/>
      <c r="D89" s="12"/>
      <c r="E89" s="141"/>
      <c r="H89" s="23"/>
    </row>
    <row r="90" spans="2:8" s="1" customFormat="1" ht="45" x14ac:dyDescent="0.25">
      <c r="B90" s="36" t="s">
        <v>23</v>
      </c>
      <c r="C90" s="227" t="s">
        <v>307</v>
      </c>
      <c r="D90" s="187" t="s">
        <v>41</v>
      </c>
      <c r="E90" s="138">
        <f>SUM(E91:E92)</f>
        <v>348.81249999999989</v>
      </c>
      <c r="H90" s="120"/>
    </row>
    <row r="91" spans="2:8" s="1" customFormat="1" ht="45" x14ac:dyDescent="0.25">
      <c r="B91" s="36"/>
      <c r="C91" s="211" t="s">
        <v>373</v>
      </c>
      <c r="D91" s="12" t="s">
        <v>41</v>
      </c>
      <c r="E91" s="141">
        <f>2.45*987.5*1.3-2853.9</f>
        <v>291.28749999999991</v>
      </c>
      <c r="G91" s="119"/>
      <c r="H91" s="23"/>
    </row>
    <row r="92" spans="2:8" s="1" customFormat="1" ht="17.25" x14ac:dyDescent="0.25">
      <c r="B92" s="47"/>
      <c r="C92" s="45" t="s">
        <v>171</v>
      </c>
      <c r="D92" s="12" t="s">
        <v>41</v>
      </c>
      <c r="E92" s="141">
        <f>2.5 *17.7*1.3</f>
        <v>57.524999999999999</v>
      </c>
      <c r="H92" s="23"/>
    </row>
    <row r="93" spans="2:8" x14ac:dyDescent="0.25">
      <c r="B93" s="210"/>
      <c r="C93" s="190"/>
      <c r="D93" s="190"/>
      <c r="E93" s="194"/>
      <c r="H93" s="23"/>
    </row>
    <row r="94" spans="2:8" s="1" customFormat="1" ht="17.25" x14ac:dyDescent="0.25">
      <c r="B94" s="36" t="s">
        <v>25</v>
      </c>
      <c r="C94" s="45" t="s">
        <v>45</v>
      </c>
      <c r="D94" s="187" t="s">
        <v>69</v>
      </c>
      <c r="E94" s="232">
        <f>SUM(E95:E98)</f>
        <v>5981.8</v>
      </c>
      <c r="G94" s="118"/>
      <c r="H94" s="121"/>
    </row>
    <row r="95" spans="2:8" s="1" customFormat="1" ht="17.25" x14ac:dyDescent="0.25">
      <c r="B95" s="36"/>
      <c r="C95" s="45" t="s">
        <v>149</v>
      </c>
      <c r="D95" s="12" t="s">
        <v>41</v>
      </c>
      <c r="E95" s="46">
        <f>5.9*987.5</f>
        <v>5826.25</v>
      </c>
      <c r="H95" s="23"/>
    </row>
    <row r="96" spans="2:8" s="1" customFormat="1" ht="17.25" x14ac:dyDescent="0.25">
      <c r="B96" s="36"/>
      <c r="C96" s="45" t="s">
        <v>148</v>
      </c>
      <c r="D96" s="12" t="s">
        <v>41</v>
      </c>
      <c r="E96" s="46">
        <f xml:space="preserve"> 6*17.7</f>
        <v>106.19999999999999</v>
      </c>
      <c r="H96" s="23"/>
    </row>
    <row r="97" spans="2:12" s="1" customFormat="1" ht="17.25" x14ac:dyDescent="0.25">
      <c r="B97" s="36"/>
      <c r="C97" s="45" t="s">
        <v>150</v>
      </c>
      <c r="D97" s="12" t="s">
        <v>41</v>
      </c>
      <c r="E97" s="46">
        <f>sjezdy!E44</f>
        <v>32.549999999999997</v>
      </c>
      <c r="H97" s="23"/>
    </row>
    <row r="98" spans="2:12" s="1" customFormat="1" ht="17.25" x14ac:dyDescent="0.25">
      <c r="B98" s="36"/>
      <c r="C98" s="45" t="s">
        <v>235</v>
      </c>
      <c r="D98" s="12" t="s">
        <v>41</v>
      </c>
      <c r="E98" s="46">
        <f xml:space="preserve"> 3.5*0.15*32</f>
        <v>16.8</v>
      </c>
      <c r="H98" s="23"/>
      <c r="L98" s="1" t="s">
        <v>160</v>
      </c>
    </row>
    <row r="99" spans="2:12" s="1" customFormat="1" x14ac:dyDescent="0.25">
      <c r="B99" s="36"/>
      <c r="C99" s="45"/>
      <c r="D99" s="12"/>
      <c r="E99" s="46"/>
      <c r="H99" s="23"/>
    </row>
    <row r="100" spans="2:12" ht="17.25" x14ac:dyDescent="0.25">
      <c r="B100" s="36" t="s">
        <v>26</v>
      </c>
      <c r="C100" s="45" t="s">
        <v>301</v>
      </c>
      <c r="D100" s="187" t="s">
        <v>69</v>
      </c>
      <c r="E100" s="230">
        <f>SUM(E101:E104)</f>
        <v>265.32</v>
      </c>
      <c r="G100" s="117">
        <f>SUM(D97:D107)</f>
        <v>0</v>
      </c>
      <c r="H100" s="23"/>
    </row>
    <row r="101" spans="2:12" ht="17.25" x14ac:dyDescent="0.25">
      <c r="B101" s="36"/>
      <c r="C101" s="211" t="s">
        <v>156</v>
      </c>
      <c r="D101" s="12" t="s">
        <v>41</v>
      </c>
      <c r="E101" s="231">
        <f>(0.1+0.1)*1005</f>
        <v>201</v>
      </c>
      <c r="H101" s="23"/>
    </row>
    <row r="102" spans="2:12" s="1" customFormat="1" x14ac:dyDescent="0.25">
      <c r="B102" s="36"/>
      <c r="C102" s="214" t="s">
        <v>152</v>
      </c>
      <c r="D102" s="12"/>
      <c r="E102" s="203"/>
      <c r="H102" s="23"/>
    </row>
    <row r="103" spans="2:12" s="1" customFormat="1" x14ac:dyDescent="0.25">
      <c r="B103" s="36"/>
      <c r="C103" s="214" t="s">
        <v>153</v>
      </c>
      <c r="D103" s="12"/>
      <c r="E103" s="203"/>
      <c r="H103" s="23"/>
    </row>
    <row r="104" spans="2:12" s="1" customFormat="1" ht="17.25" x14ac:dyDescent="0.25">
      <c r="B104" s="36"/>
      <c r="C104" s="214" t="s">
        <v>154</v>
      </c>
      <c r="D104" s="12" t="s">
        <v>41</v>
      </c>
      <c r="E104" s="203">
        <f>0.08*0.5*1608</f>
        <v>64.320000000000007</v>
      </c>
      <c r="H104" s="23"/>
    </row>
    <row r="105" spans="2:12" s="1" customFormat="1" x14ac:dyDescent="0.25">
      <c r="B105" s="36"/>
      <c r="C105" s="45" t="s">
        <v>155</v>
      </c>
      <c r="D105" s="12"/>
      <c r="E105" s="203"/>
      <c r="H105" s="23"/>
    </row>
    <row r="106" spans="2:12" s="1" customFormat="1" x14ac:dyDescent="0.25">
      <c r="B106" s="210"/>
      <c r="C106" s="45"/>
      <c r="D106" s="12"/>
      <c r="E106" s="203"/>
    </row>
    <row r="107" spans="2:12" s="1" customFormat="1" ht="17.25" x14ac:dyDescent="0.25">
      <c r="B107" s="36" t="s">
        <v>162</v>
      </c>
      <c r="C107" s="45" t="s">
        <v>46</v>
      </c>
      <c r="D107" s="187" t="s">
        <v>69</v>
      </c>
      <c r="E107" s="233">
        <f>SUM(E108:E111)</f>
        <v>1842.9449999999999</v>
      </c>
    </row>
    <row r="108" spans="2:12" s="1" customFormat="1" ht="17.25" x14ac:dyDescent="0.25">
      <c r="B108" s="36"/>
      <c r="C108" s="45" t="s">
        <v>151</v>
      </c>
      <c r="D108" s="12" t="s">
        <v>41</v>
      </c>
      <c r="E108" s="231">
        <f>(0.65+0.67)*987.5</f>
        <v>1303.5</v>
      </c>
    </row>
    <row r="109" spans="2:12" s="1" customFormat="1" ht="17.25" x14ac:dyDescent="0.25">
      <c r="B109" s="36"/>
      <c r="C109" s="45" t="s">
        <v>157</v>
      </c>
      <c r="D109" s="12" t="s">
        <v>41</v>
      </c>
      <c r="E109" s="231">
        <f xml:space="preserve">  0.8*17.7</f>
        <v>14.16</v>
      </c>
    </row>
    <row r="110" spans="2:12" s="1" customFormat="1" ht="17.25" x14ac:dyDescent="0.25">
      <c r="B110" s="36"/>
      <c r="C110" s="45" t="s">
        <v>164</v>
      </c>
      <c r="D110" s="12" t="s">
        <v>41</v>
      </c>
      <c r="E110" s="231">
        <f>sjezdy!E69</f>
        <v>469.48499999999996</v>
      </c>
    </row>
    <row r="111" spans="2:12" s="1" customFormat="1" ht="17.25" x14ac:dyDescent="0.25">
      <c r="B111" s="36"/>
      <c r="C111" s="45" t="s">
        <v>165</v>
      </c>
      <c r="D111" s="12" t="s">
        <v>41</v>
      </c>
      <c r="E111" s="231">
        <f>1.8*31</f>
        <v>55.800000000000004</v>
      </c>
    </row>
    <row r="112" spans="2:12" s="1" customFormat="1" x14ac:dyDescent="0.25">
      <c r="B112" s="36"/>
      <c r="C112" s="45"/>
      <c r="D112" s="12"/>
      <c r="E112" s="231"/>
    </row>
    <row r="113" spans="2:6" ht="17.25" x14ac:dyDescent="0.25">
      <c r="B113" s="36" t="s">
        <v>29</v>
      </c>
      <c r="C113" s="45" t="s">
        <v>236</v>
      </c>
      <c r="D113" s="12" t="s">
        <v>82</v>
      </c>
      <c r="E113" s="257">
        <f>SUM(E114:E115)</f>
        <v>6719.9750000000004</v>
      </c>
    </row>
    <row r="114" spans="2:6" ht="17.25" x14ac:dyDescent="0.25">
      <c r="B114" s="36"/>
      <c r="C114" s="211" t="s">
        <v>169</v>
      </c>
      <c r="D114" s="12" t="s">
        <v>82</v>
      </c>
      <c r="E114" s="203">
        <f>(0.27+0.2)*987.5/0.1</f>
        <v>4641.25</v>
      </c>
    </row>
    <row r="115" spans="2:6" s="1" customFormat="1" ht="17.25" x14ac:dyDescent="0.25">
      <c r="B115" s="36"/>
      <c r="C115" s="211" t="s">
        <v>166</v>
      </c>
      <c r="D115" s="12" t="s">
        <v>82</v>
      </c>
      <c r="E115" s="231">
        <f>sjezdy!E123/0.1</f>
        <v>2078.7249999999999</v>
      </c>
    </row>
    <row r="116" spans="2:6" s="1" customFormat="1" x14ac:dyDescent="0.25">
      <c r="B116" s="36"/>
      <c r="C116" s="211"/>
      <c r="D116" s="12"/>
      <c r="E116" s="231"/>
    </row>
    <row r="117" spans="2:6" s="1" customFormat="1" ht="17.25" x14ac:dyDescent="0.25">
      <c r="B117" s="36" t="s">
        <v>30</v>
      </c>
      <c r="C117" s="227" t="s">
        <v>361</v>
      </c>
      <c r="D117" s="187" t="s">
        <v>173</v>
      </c>
      <c r="E117" s="188">
        <f>SUM(E118:E120)</f>
        <v>10193.5</v>
      </c>
    </row>
    <row r="118" spans="2:6" s="1" customFormat="1" ht="17.25" x14ac:dyDescent="0.25">
      <c r="B118" s="36"/>
      <c r="C118" s="211" t="s">
        <v>172</v>
      </c>
      <c r="D118" s="12" t="s">
        <v>82</v>
      </c>
      <c r="E118" s="231">
        <f>10*987.5</f>
        <v>9875</v>
      </c>
      <c r="F118" s="23"/>
    </row>
    <row r="119" spans="2:6" s="1" customFormat="1" ht="17.25" x14ac:dyDescent="0.25">
      <c r="B119" s="36"/>
      <c r="C119" s="211" t="s">
        <v>174</v>
      </c>
      <c r="D119" s="12" t="s">
        <v>82</v>
      </c>
      <c r="E119" s="231">
        <f xml:space="preserve"> 3.5* 31</f>
        <v>108.5</v>
      </c>
      <c r="F119" s="23"/>
    </row>
    <row r="120" spans="2:6" s="1" customFormat="1" x14ac:dyDescent="0.25">
      <c r="B120" s="36"/>
      <c r="C120" s="211" t="s">
        <v>177</v>
      </c>
      <c r="D120" s="12"/>
      <c r="E120" s="231">
        <f>2*30*3.5</f>
        <v>210</v>
      </c>
      <c r="F120" s="23"/>
    </row>
    <row r="121" spans="2:6" s="1" customFormat="1" x14ac:dyDescent="0.25">
      <c r="B121" s="36"/>
      <c r="C121" s="211"/>
      <c r="D121" s="12"/>
      <c r="E121" s="231"/>
      <c r="F121" s="23"/>
    </row>
    <row r="122" spans="2:6" s="1" customFormat="1" ht="17.25" x14ac:dyDescent="0.25">
      <c r="B122" s="186" t="s">
        <v>31</v>
      </c>
      <c r="C122" s="37" t="s">
        <v>175</v>
      </c>
      <c r="D122" s="12" t="s">
        <v>82</v>
      </c>
      <c r="E122" s="231">
        <f>SUM(E123:E124)</f>
        <v>7990</v>
      </c>
      <c r="F122" s="23"/>
    </row>
    <row r="123" spans="2:6" s="1" customFormat="1" ht="17.25" x14ac:dyDescent="0.25">
      <c r="B123" s="186"/>
      <c r="C123" s="211" t="s">
        <v>176</v>
      </c>
      <c r="D123" s="12" t="s">
        <v>82</v>
      </c>
      <c r="E123" s="231">
        <f>2 *4*987.5</f>
        <v>7900</v>
      </c>
      <c r="F123" s="23"/>
    </row>
    <row r="124" spans="2:6" s="1" customFormat="1" ht="17.25" x14ac:dyDescent="0.25">
      <c r="B124" s="186"/>
      <c r="C124" s="211" t="s">
        <v>178</v>
      </c>
      <c r="D124" s="12" t="s">
        <v>82</v>
      </c>
      <c r="E124" s="231">
        <f>3*30</f>
        <v>90</v>
      </c>
      <c r="F124" s="23"/>
    </row>
    <row r="125" spans="2:6" s="1" customFormat="1" x14ac:dyDescent="0.25">
      <c r="B125" s="186"/>
      <c r="C125" s="234"/>
      <c r="D125" s="12"/>
      <c r="E125" s="231"/>
      <c r="F125" s="23"/>
    </row>
    <row r="126" spans="2:6" s="1" customFormat="1" ht="30" x14ac:dyDescent="0.25">
      <c r="B126" s="36" t="s">
        <v>32</v>
      </c>
      <c r="C126" s="37" t="s">
        <v>180</v>
      </c>
      <c r="D126" s="12" t="s">
        <v>82</v>
      </c>
      <c r="E126" s="235">
        <f>4850+1610</f>
        <v>6460</v>
      </c>
      <c r="F126" s="23"/>
    </row>
    <row r="127" spans="2:6" s="1" customFormat="1" x14ac:dyDescent="0.25">
      <c r="B127" s="36"/>
      <c r="C127" s="211" t="s">
        <v>179</v>
      </c>
      <c r="D127" s="12"/>
      <c r="E127" s="231"/>
      <c r="F127" s="23"/>
    </row>
    <row r="128" spans="2:6" s="1" customFormat="1" x14ac:dyDescent="0.25">
      <c r="B128" s="36"/>
      <c r="C128" s="211"/>
      <c r="D128" s="12"/>
      <c r="E128" s="231"/>
      <c r="F128" s="23"/>
    </row>
    <row r="129" spans="2:6" s="1" customFormat="1" x14ac:dyDescent="0.25">
      <c r="B129" s="36" t="s">
        <v>163</v>
      </c>
      <c r="C129" s="37" t="s">
        <v>181</v>
      </c>
      <c r="D129" s="12"/>
      <c r="E129" s="236"/>
      <c r="F129" s="23"/>
    </row>
    <row r="130" spans="2:6" s="1" customFormat="1" ht="17.25" x14ac:dyDescent="0.25">
      <c r="B130" s="36"/>
      <c r="C130" s="37" t="s">
        <v>182</v>
      </c>
      <c r="D130" s="12" t="s">
        <v>82</v>
      </c>
      <c r="E130" s="236">
        <f>2* 3*31</f>
        <v>186</v>
      </c>
      <c r="F130" s="23"/>
    </row>
    <row r="131" spans="2:6" s="1" customFormat="1" x14ac:dyDescent="0.25">
      <c r="B131" s="36"/>
      <c r="C131" s="211"/>
      <c r="D131" s="12"/>
      <c r="E131" s="231"/>
      <c r="F131" s="23"/>
    </row>
    <row r="132" spans="2:6" s="1" customFormat="1" ht="45" x14ac:dyDescent="0.25">
      <c r="B132" s="36" t="s">
        <v>183</v>
      </c>
      <c r="C132" s="37" t="s">
        <v>184</v>
      </c>
      <c r="D132" s="12" t="s">
        <v>82</v>
      </c>
      <c r="E132" s="236">
        <v>1610</v>
      </c>
      <c r="F132" s="23"/>
    </row>
    <row r="133" spans="2:6" s="1" customFormat="1" x14ac:dyDescent="0.25">
      <c r="B133" s="36"/>
      <c r="C133" s="211"/>
      <c r="D133" s="12"/>
      <c r="E133" s="231"/>
      <c r="F133" s="23"/>
    </row>
    <row r="134" spans="2:6" ht="45" x14ac:dyDescent="0.25">
      <c r="B134" s="36" t="s">
        <v>185</v>
      </c>
      <c r="C134" s="37" t="s">
        <v>362</v>
      </c>
      <c r="D134" s="12" t="s">
        <v>147</v>
      </c>
      <c r="E134" s="236">
        <f>(1.33+1.56)*987.5</f>
        <v>2853.875</v>
      </c>
    </row>
    <row r="135" spans="2:6" s="1" customFormat="1" x14ac:dyDescent="0.25">
      <c r="B135" s="36"/>
      <c r="C135" s="45" t="s">
        <v>372</v>
      </c>
      <c r="D135" s="12"/>
      <c r="E135" s="203"/>
    </row>
    <row r="136" spans="2:6" s="1" customFormat="1" x14ac:dyDescent="0.25">
      <c r="B136" s="36"/>
      <c r="C136" s="45"/>
      <c r="D136" s="12"/>
      <c r="E136" s="203"/>
    </row>
    <row r="137" spans="2:6" s="1" customFormat="1" ht="30" x14ac:dyDescent="0.25">
      <c r="B137" s="36" t="s">
        <v>375</v>
      </c>
      <c r="C137" s="37" t="s">
        <v>376</v>
      </c>
      <c r="D137" s="12" t="s">
        <v>147</v>
      </c>
      <c r="E137" s="236">
        <v>86.9</v>
      </c>
    </row>
    <row r="138" spans="2:6" x14ac:dyDescent="0.25">
      <c r="B138" s="47"/>
      <c r="C138" s="37" t="s">
        <v>378</v>
      </c>
      <c r="D138" s="12"/>
      <c r="E138" s="236"/>
    </row>
    <row r="139" spans="2:6" s="1" customFormat="1" x14ac:dyDescent="0.25">
      <c r="B139" s="47"/>
      <c r="C139" s="37"/>
      <c r="D139" s="12"/>
      <c r="E139" s="236"/>
    </row>
    <row r="140" spans="2:6" x14ac:dyDescent="0.25">
      <c r="B140" s="186" t="s">
        <v>27</v>
      </c>
      <c r="C140" s="41" t="s">
        <v>47</v>
      </c>
      <c r="D140" s="12"/>
      <c r="E140" s="203"/>
    </row>
    <row r="141" spans="2:6" x14ac:dyDescent="0.25">
      <c r="B141" s="36"/>
      <c r="C141" s="45" t="s">
        <v>48</v>
      </c>
      <c r="D141" s="12" t="s">
        <v>17</v>
      </c>
      <c r="E141" s="237">
        <v>151</v>
      </c>
    </row>
    <row r="142" spans="2:6" s="1" customFormat="1" x14ac:dyDescent="0.25">
      <c r="B142" s="36" t="s">
        <v>21</v>
      </c>
      <c r="C142" s="45" t="s">
        <v>49</v>
      </c>
      <c r="D142" s="12" t="s">
        <v>7</v>
      </c>
      <c r="E142" s="203">
        <f>(9*199)+987.5+5.5</f>
        <v>2784</v>
      </c>
    </row>
    <row r="143" spans="2:6" s="1" customFormat="1" x14ac:dyDescent="0.25">
      <c r="B143" s="36"/>
      <c r="C143" s="45" t="s">
        <v>387</v>
      </c>
      <c r="D143" s="12"/>
      <c r="E143" s="203"/>
    </row>
    <row r="144" spans="2:6" s="1" customFormat="1" ht="30" x14ac:dyDescent="0.25">
      <c r="B144" s="36" t="s">
        <v>22</v>
      </c>
      <c r="C144" s="211" t="s">
        <v>385</v>
      </c>
      <c r="D144" s="12" t="s">
        <v>254</v>
      </c>
      <c r="E144" s="203">
        <f>2*987.5*0.25</f>
        <v>493.75</v>
      </c>
    </row>
    <row r="145" spans="2:5" s="1" customFormat="1" x14ac:dyDescent="0.25">
      <c r="B145" s="36"/>
      <c r="C145" s="211" t="s">
        <v>386</v>
      </c>
      <c r="D145" s="12"/>
      <c r="E145" s="203"/>
    </row>
    <row r="146" spans="2:5" s="1" customFormat="1" x14ac:dyDescent="0.25">
      <c r="B146" s="36"/>
      <c r="C146" s="45"/>
      <c r="D146" s="12"/>
      <c r="E146" s="203"/>
    </row>
    <row r="147" spans="2:5" s="1" customFormat="1" x14ac:dyDescent="0.25">
      <c r="B147" s="36" t="s">
        <v>24</v>
      </c>
      <c r="C147" s="45" t="s">
        <v>382</v>
      </c>
      <c r="D147" s="12"/>
      <c r="E147" s="203"/>
    </row>
    <row r="148" spans="2:5" s="1" customFormat="1" x14ac:dyDescent="0.25">
      <c r="B148" s="36"/>
      <c r="C148" s="45"/>
      <c r="D148" s="12"/>
      <c r="E148" s="203"/>
    </row>
    <row r="149" spans="2:5" s="1" customFormat="1" x14ac:dyDescent="0.25">
      <c r="B149" s="36" t="s">
        <v>33</v>
      </c>
      <c r="C149" s="45" t="s">
        <v>382</v>
      </c>
      <c r="D149" s="12"/>
      <c r="E149" s="231"/>
    </row>
    <row r="150" spans="2:5" s="1" customFormat="1" x14ac:dyDescent="0.25">
      <c r="B150" s="36"/>
      <c r="C150" s="45"/>
      <c r="D150" s="12"/>
      <c r="E150" s="231"/>
    </row>
    <row r="151" spans="2:5" s="1" customFormat="1" x14ac:dyDescent="0.25">
      <c r="B151" s="36" t="s">
        <v>34</v>
      </c>
      <c r="C151" s="45" t="s">
        <v>383</v>
      </c>
      <c r="D151" s="12" t="s">
        <v>7</v>
      </c>
      <c r="E151" s="231">
        <f>5.4+5.4+5.5</f>
        <v>16.3</v>
      </c>
    </row>
    <row r="152" spans="2:5" s="1" customFormat="1" x14ac:dyDescent="0.25">
      <c r="B152" s="36"/>
      <c r="C152" s="45" t="s">
        <v>384</v>
      </c>
      <c r="D152" s="12"/>
      <c r="E152" s="231"/>
    </row>
    <row r="153" spans="2:5" s="1" customFormat="1" x14ac:dyDescent="0.25">
      <c r="B153" s="36"/>
      <c r="C153" s="45"/>
      <c r="D153" s="12"/>
      <c r="E153" s="231"/>
    </row>
    <row r="154" spans="2:5" s="1" customFormat="1" ht="45" x14ac:dyDescent="0.25">
      <c r="B154" s="36" t="s">
        <v>35</v>
      </c>
      <c r="C154" s="211" t="s">
        <v>308</v>
      </c>
      <c r="D154" s="12" t="s">
        <v>254</v>
      </c>
      <c r="E154" s="203">
        <v>172</v>
      </c>
    </row>
    <row r="155" spans="2:5" s="1" customFormat="1" x14ac:dyDescent="0.25">
      <c r="B155" s="36"/>
      <c r="C155" s="211" t="s">
        <v>309</v>
      </c>
      <c r="D155" s="12"/>
      <c r="E155" s="203"/>
    </row>
    <row r="156" spans="2:5" s="1" customFormat="1" x14ac:dyDescent="0.25">
      <c r="B156" s="36"/>
      <c r="C156" s="211"/>
      <c r="D156" s="12"/>
      <c r="E156" s="203"/>
    </row>
    <row r="157" spans="2:5" s="1" customFormat="1" ht="30" x14ac:dyDescent="0.25">
      <c r="B157" s="36" t="s">
        <v>36</v>
      </c>
      <c r="C157" s="211" t="s">
        <v>327</v>
      </c>
      <c r="D157" s="12" t="s">
        <v>7</v>
      </c>
      <c r="E157" s="203">
        <v>10.8</v>
      </c>
    </row>
    <row r="158" spans="2:5" s="1" customFormat="1" x14ac:dyDescent="0.25">
      <c r="B158" s="36"/>
      <c r="C158" s="211" t="s">
        <v>328</v>
      </c>
      <c r="D158" s="12"/>
      <c r="E158" s="203"/>
    </row>
    <row r="159" spans="2:5" s="1" customFormat="1" x14ac:dyDescent="0.25">
      <c r="B159" s="36"/>
      <c r="C159" s="211"/>
      <c r="D159" s="12"/>
      <c r="E159" s="203"/>
    </row>
    <row r="160" spans="2:5" s="1" customFormat="1" x14ac:dyDescent="0.25">
      <c r="B160" s="36" t="s">
        <v>344</v>
      </c>
      <c r="C160" s="211" t="s">
        <v>366</v>
      </c>
      <c r="D160" s="12" t="s">
        <v>7</v>
      </c>
      <c r="E160" s="203">
        <f>2.75*2</f>
        <v>5.5</v>
      </c>
    </row>
    <row r="161" spans="2:6" s="1" customFormat="1" x14ac:dyDescent="0.25">
      <c r="B161" s="36"/>
      <c r="C161" s="211"/>
      <c r="D161" s="12"/>
      <c r="E161" s="203"/>
    </row>
    <row r="162" spans="2:6" s="1" customFormat="1" x14ac:dyDescent="0.25">
      <c r="B162" s="186" t="s">
        <v>28</v>
      </c>
      <c r="C162" s="41" t="s">
        <v>50</v>
      </c>
      <c r="D162" s="3"/>
      <c r="E162" s="238"/>
    </row>
    <row r="163" spans="2:6" s="1" customFormat="1" ht="21" customHeight="1" x14ac:dyDescent="0.25">
      <c r="B163" s="36"/>
      <c r="C163" s="214" t="s">
        <v>42</v>
      </c>
      <c r="D163" s="12"/>
      <c r="E163" s="203"/>
    </row>
    <row r="164" spans="2:6" s="1" customFormat="1" ht="17.25" x14ac:dyDescent="0.25">
      <c r="B164" s="186" t="s">
        <v>191</v>
      </c>
      <c r="C164" s="215" t="s">
        <v>186</v>
      </c>
      <c r="D164" s="187" t="s">
        <v>69</v>
      </c>
      <c r="E164" s="239">
        <f>SUM(E165:E168)</f>
        <v>8.168000000000001</v>
      </c>
    </row>
    <row r="165" spans="2:6" s="1" customFormat="1" ht="17.25" x14ac:dyDescent="0.25">
      <c r="B165" s="36"/>
      <c r="C165" s="214" t="s">
        <v>187</v>
      </c>
      <c r="D165" s="12" t="s">
        <v>41</v>
      </c>
      <c r="E165" s="240">
        <f>2*2* 0.1*14</f>
        <v>5.6000000000000005</v>
      </c>
    </row>
    <row r="166" spans="2:6" s="1" customFormat="1" ht="17.25" x14ac:dyDescent="0.25">
      <c r="B166" s="36"/>
      <c r="C166" s="214" t="s">
        <v>188</v>
      </c>
      <c r="D166" s="12" t="s">
        <v>41</v>
      </c>
      <c r="E166" s="241">
        <f>2*5*0.1</f>
        <v>1</v>
      </c>
    </row>
    <row r="167" spans="2:6" s="1" customFormat="1" x14ac:dyDescent="0.25">
      <c r="B167" s="186"/>
      <c r="C167" s="41" t="s">
        <v>189</v>
      </c>
      <c r="D167" s="12"/>
      <c r="E167" s="240"/>
    </row>
    <row r="168" spans="2:6" s="1" customFormat="1" ht="17.25" x14ac:dyDescent="0.25">
      <c r="B168" s="186"/>
      <c r="C168" s="45" t="s">
        <v>190</v>
      </c>
      <c r="D168" s="12" t="s">
        <v>41</v>
      </c>
      <c r="E168" s="240">
        <f>11.2*0.1*1.4</f>
        <v>1.5679999999999998</v>
      </c>
    </row>
    <row r="169" spans="2:6" s="1" customFormat="1" x14ac:dyDescent="0.25">
      <c r="B169" s="186"/>
      <c r="C169" s="41"/>
      <c r="D169" s="12"/>
      <c r="E169" s="203"/>
    </row>
    <row r="170" spans="2:6" s="1" customFormat="1" x14ac:dyDescent="0.25">
      <c r="B170" s="186" t="s">
        <v>193</v>
      </c>
      <c r="C170" s="41" t="s">
        <v>333</v>
      </c>
      <c r="D170" s="3"/>
      <c r="E170" s="238"/>
    </row>
    <row r="171" spans="2:6" s="1" customFormat="1" ht="17.25" x14ac:dyDescent="0.25">
      <c r="B171" s="186"/>
      <c r="C171" s="242" t="s">
        <v>214</v>
      </c>
      <c r="D171" s="12" t="s">
        <v>82</v>
      </c>
      <c r="E171" s="243">
        <f>betony!H51</f>
        <v>80</v>
      </c>
      <c r="F171" s="128"/>
    </row>
    <row r="172" spans="2:6" s="1" customFormat="1" x14ac:dyDescent="0.25">
      <c r="B172" s="186"/>
      <c r="C172" s="244" t="s">
        <v>237</v>
      </c>
      <c r="D172" s="3"/>
      <c r="E172" s="238"/>
    </row>
    <row r="173" spans="2:6" s="1" customFormat="1" x14ac:dyDescent="0.25">
      <c r="B173" s="186"/>
      <c r="C173" s="41"/>
      <c r="D173" s="12"/>
      <c r="E173" s="203"/>
    </row>
    <row r="174" spans="2:6" s="1" customFormat="1" x14ac:dyDescent="0.25">
      <c r="B174" s="186" t="s">
        <v>196</v>
      </c>
      <c r="C174" s="41" t="s">
        <v>194</v>
      </c>
      <c r="D174" s="12"/>
      <c r="E174" s="203"/>
    </row>
    <row r="175" spans="2:6" s="1" customFormat="1" ht="17.25" x14ac:dyDescent="0.25">
      <c r="B175" s="186"/>
      <c r="C175" s="214" t="s">
        <v>192</v>
      </c>
      <c r="D175" s="12" t="s">
        <v>41</v>
      </c>
      <c r="E175" s="203">
        <f>SUM(E176:E180)</f>
        <v>2393</v>
      </c>
    </row>
    <row r="176" spans="2:6" s="1" customFormat="1" ht="17.25" x14ac:dyDescent="0.25">
      <c r="B176" s="186"/>
      <c r="C176" s="45" t="s">
        <v>195</v>
      </c>
      <c r="D176" s="12" t="s">
        <v>41</v>
      </c>
      <c r="E176" s="203">
        <f>987.5*2.4</f>
        <v>2370</v>
      </c>
    </row>
    <row r="177" spans="2:5" s="1" customFormat="1" x14ac:dyDescent="0.25">
      <c r="B177" s="186"/>
      <c r="C177" s="45" t="s">
        <v>65</v>
      </c>
      <c r="D177" s="12"/>
      <c r="E177" s="203"/>
    </row>
    <row r="178" spans="2:5" s="1" customFormat="1" ht="17.25" x14ac:dyDescent="0.25">
      <c r="B178" s="186"/>
      <c r="C178" s="45" t="s">
        <v>238</v>
      </c>
      <c r="D178" s="12" t="s">
        <v>41</v>
      </c>
      <c r="E178" s="245">
        <f>0.15*3.75*14</f>
        <v>7.875</v>
      </c>
    </row>
    <row r="179" spans="2:5" s="1" customFormat="1" ht="17.25" customHeight="1" x14ac:dyDescent="0.25">
      <c r="B179" s="186"/>
      <c r="C179" s="45" t="s">
        <v>202</v>
      </c>
      <c r="D179" s="12"/>
      <c r="E179" s="203"/>
    </row>
    <row r="180" spans="2:5" s="1" customFormat="1" ht="17.25" x14ac:dyDescent="0.25">
      <c r="B180" s="186"/>
      <c r="C180" s="45" t="s">
        <v>203</v>
      </c>
      <c r="D180" s="12" t="s">
        <v>41</v>
      </c>
      <c r="E180" s="203">
        <f>(68*0.2)+(3.05*0.5)</f>
        <v>15.125000000000002</v>
      </c>
    </row>
    <row r="181" spans="2:5" s="1" customFormat="1" x14ac:dyDescent="0.25">
      <c r="B181" s="186"/>
      <c r="C181" s="45" t="s">
        <v>51</v>
      </c>
      <c r="D181" s="12"/>
      <c r="E181" s="203"/>
    </row>
    <row r="182" spans="2:5" s="1" customFormat="1" x14ac:dyDescent="0.25">
      <c r="B182" s="186"/>
      <c r="C182" s="41"/>
      <c r="D182" s="12"/>
      <c r="E182" s="203"/>
    </row>
    <row r="183" spans="2:5" s="1" customFormat="1" ht="30" x14ac:dyDescent="0.25">
      <c r="B183" s="186" t="s">
        <v>197</v>
      </c>
      <c r="C183" s="227" t="s">
        <v>198</v>
      </c>
      <c r="D183" s="187" t="s">
        <v>69</v>
      </c>
      <c r="E183" s="246">
        <f>SUM(E184:E193)</f>
        <v>194.9325</v>
      </c>
    </row>
    <row r="184" spans="2:5" s="1" customFormat="1" ht="45" x14ac:dyDescent="0.25">
      <c r="B184" s="36"/>
      <c r="C184" s="211" t="s">
        <v>364</v>
      </c>
      <c r="D184" s="12" t="s">
        <v>41</v>
      </c>
      <c r="E184" s="203">
        <f>betony!H28</f>
        <v>165.5025</v>
      </c>
    </row>
    <row r="185" spans="2:5" s="1" customFormat="1" ht="17.25" x14ac:dyDescent="0.25">
      <c r="B185" s="36"/>
      <c r="C185" s="45" t="s">
        <v>205</v>
      </c>
      <c r="D185" s="12" t="s">
        <v>41</v>
      </c>
      <c r="E185" s="203">
        <f>21*0.2</f>
        <v>4.2</v>
      </c>
    </row>
    <row r="186" spans="2:5" s="1" customFormat="1" x14ac:dyDescent="0.25">
      <c r="B186" s="247"/>
      <c r="C186" s="45" t="s">
        <v>204</v>
      </c>
      <c r="D186" s="12"/>
      <c r="E186" s="203"/>
    </row>
    <row r="187" spans="2:5" s="1" customFormat="1" x14ac:dyDescent="0.25">
      <c r="B187" s="36"/>
      <c r="C187" s="45" t="s">
        <v>206</v>
      </c>
      <c r="D187" s="12"/>
      <c r="E187" s="203"/>
    </row>
    <row r="188" spans="2:5" s="1" customFormat="1" x14ac:dyDescent="0.25">
      <c r="B188" s="36"/>
      <c r="C188" s="45" t="s">
        <v>207</v>
      </c>
      <c r="D188" s="12"/>
      <c r="E188" s="203"/>
    </row>
    <row r="189" spans="2:5" s="1" customFormat="1" ht="17.25" x14ac:dyDescent="0.25">
      <c r="B189" s="36"/>
      <c r="C189" s="45" t="s">
        <v>208</v>
      </c>
      <c r="D189" s="12" t="s">
        <v>41</v>
      </c>
      <c r="E189" s="203">
        <f>14-5.7</f>
        <v>8.3000000000000007</v>
      </c>
    </row>
    <row r="190" spans="2:5" s="1" customFormat="1" ht="17.25" x14ac:dyDescent="0.25">
      <c r="B190" s="36"/>
      <c r="C190" s="45" t="s">
        <v>209</v>
      </c>
      <c r="D190" s="12" t="s">
        <v>41</v>
      </c>
      <c r="E190" s="203">
        <f xml:space="preserve"> 5.5*1.7</f>
        <v>9.35</v>
      </c>
    </row>
    <row r="191" spans="2:5" s="1" customFormat="1" x14ac:dyDescent="0.25">
      <c r="B191" s="36"/>
      <c r="C191" s="45" t="s">
        <v>210</v>
      </c>
      <c r="D191" s="12"/>
      <c r="E191" s="203"/>
    </row>
    <row r="192" spans="2:5" s="1" customFormat="1" ht="17.25" x14ac:dyDescent="0.25">
      <c r="B192" s="36"/>
      <c r="C192" s="45" t="s">
        <v>211</v>
      </c>
      <c r="D192" s="12" t="s">
        <v>41</v>
      </c>
      <c r="E192" s="203">
        <f>0.45*4.4+0.5*4.6</f>
        <v>4.28</v>
      </c>
    </row>
    <row r="193" spans="2:5" s="1" customFormat="1" ht="17.25" x14ac:dyDescent="0.25">
      <c r="B193" s="36"/>
      <c r="C193" s="45" t="s">
        <v>212</v>
      </c>
      <c r="D193" s="12" t="s">
        <v>41</v>
      </c>
      <c r="E193" s="203">
        <f>(0.2+0.4)/2*5.5*2</f>
        <v>3.3000000000000007</v>
      </c>
    </row>
    <row r="194" spans="2:5" s="1" customFormat="1" x14ac:dyDescent="0.25">
      <c r="B194" s="36"/>
      <c r="C194" s="45"/>
      <c r="D194" s="12"/>
      <c r="E194" s="203"/>
    </row>
    <row r="195" spans="2:5" s="1" customFormat="1" x14ac:dyDescent="0.25">
      <c r="B195" s="186" t="s">
        <v>222</v>
      </c>
      <c r="C195" s="41" t="s">
        <v>225</v>
      </c>
      <c r="D195" s="12"/>
      <c r="E195" s="203"/>
    </row>
    <row r="196" spans="2:5" s="1" customFormat="1" ht="17.25" x14ac:dyDescent="0.25">
      <c r="B196" s="186" t="s">
        <v>224</v>
      </c>
      <c r="C196" s="41" t="s">
        <v>223</v>
      </c>
      <c r="D196" s="187" t="s">
        <v>173</v>
      </c>
      <c r="E196" s="188">
        <f>SUM(E197:E213)</f>
        <v>784.21399999999983</v>
      </c>
    </row>
    <row r="197" spans="2:5" s="1" customFormat="1" ht="17.25" x14ac:dyDescent="0.25">
      <c r="B197" s="186"/>
      <c r="C197" s="214" t="s">
        <v>304</v>
      </c>
      <c r="D197" s="12" t="s">
        <v>82</v>
      </c>
      <c r="E197" s="231">
        <f>2*987.5*0.25</f>
        <v>493.75</v>
      </c>
    </row>
    <row r="198" spans="2:5" s="1" customFormat="1" ht="32.25" x14ac:dyDescent="0.25">
      <c r="B198" s="36"/>
      <c r="C198" s="37" t="s">
        <v>239</v>
      </c>
      <c r="D198" s="12" t="s">
        <v>82</v>
      </c>
      <c r="E198" s="203">
        <f>1*1*14</f>
        <v>14</v>
      </c>
    </row>
    <row r="199" spans="2:5" s="1" customFormat="1" ht="30" x14ac:dyDescent="0.25">
      <c r="B199" s="36"/>
      <c r="C199" s="37" t="s">
        <v>240</v>
      </c>
      <c r="D199" s="12" t="s">
        <v>82</v>
      </c>
      <c r="E199" s="203">
        <f>1*4*0.3*14</f>
        <v>16.8</v>
      </c>
    </row>
    <row r="200" spans="2:5" s="1" customFormat="1" ht="17.25" x14ac:dyDescent="0.25">
      <c r="B200" s="36"/>
      <c r="C200" s="37" t="s">
        <v>363</v>
      </c>
      <c r="D200" s="12" t="s">
        <v>82</v>
      </c>
      <c r="E200" s="203">
        <f>2*2.61*0.3*14</f>
        <v>21.923999999999999</v>
      </c>
    </row>
    <row r="201" spans="2:5" s="1" customFormat="1" x14ac:dyDescent="0.25">
      <c r="B201" s="36"/>
      <c r="C201" s="45" t="s">
        <v>241</v>
      </c>
      <c r="D201" s="45"/>
      <c r="E201" s="248"/>
    </row>
    <row r="202" spans="2:5" s="1" customFormat="1" ht="17.25" x14ac:dyDescent="0.25">
      <c r="B202" s="36"/>
      <c r="C202" s="45" t="s">
        <v>242</v>
      </c>
      <c r="D202" s="12" t="s">
        <v>82</v>
      </c>
      <c r="E202" s="203">
        <f>(0.6+4.2)*2*0.8 +0.9*2*(0.5+3.7)</f>
        <v>15.24</v>
      </c>
    </row>
    <row r="203" spans="2:5" s="1" customFormat="1" x14ac:dyDescent="0.25">
      <c r="B203" s="36"/>
      <c r="C203" s="45" t="s">
        <v>243</v>
      </c>
      <c r="D203" s="12"/>
      <c r="E203" s="203"/>
    </row>
    <row r="204" spans="2:5" s="1" customFormat="1" ht="17.25" x14ac:dyDescent="0.25">
      <c r="B204" s="36"/>
      <c r="C204" s="45" t="s">
        <v>355</v>
      </c>
      <c r="D204" s="12" t="s">
        <v>82</v>
      </c>
      <c r="E204" s="231">
        <f>2*(1.5+ 1.1)*17.7+8*2</f>
        <v>108.04</v>
      </c>
    </row>
    <row r="205" spans="2:5" s="1" customFormat="1" ht="17.25" x14ac:dyDescent="0.25">
      <c r="B205" s="36"/>
      <c r="C205" s="45" t="s">
        <v>356</v>
      </c>
      <c r="D205" s="12" t="s">
        <v>82</v>
      </c>
      <c r="E205" s="203">
        <f>2*0.8*17.7+8*0.45</f>
        <v>31.92</v>
      </c>
    </row>
    <row r="206" spans="2:5" s="1" customFormat="1" ht="17.25" x14ac:dyDescent="0.25">
      <c r="B206" s="36"/>
      <c r="C206" s="45" t="s">
        <v>332</v>
      </c>
      <c r="D206" s="12" t="s">
        <v>82</v>
      </c>
      <c r="E206" s="203">
        <f>8*2.2</f>
        <v>17.600000000000001</v>
      </c>
    </row>
    <row r="207" spans="2:5" s="1" customFormat="1" ht="17.25" x14ac:dyDescent="0.25">
      <c r="B207" s="36"/>
      <c r="C207" s="45" t="s">
        <v>244</v>
      </c>
      <c r="D207" s="12" t="s">
        <v>82</v>
      </c>
      <c r="E207" s="203">
        <f>1*5.5</f>
        <v>5.5</v>
      </c>
    </row>
    <row r="208" spans="2:5" s="1" customFormat="1" x14ac:dyDescent="0.25">
      <c r="B208" s="36"/>
      <c r="C208" s="45" t="s">
        <v>204</v>
      </c>
      <c r="D208" s="12"/>
      <c r="E208" s="203"/>
    </row>
    <row r="209" spans="2:5" s="1" customFormat="1" ht="17.25" x14ac:dyDescent="0.25">
      <c r="B209" s="36"/>
      <c r="C209" s="45" t="s">
        <v>302</v>
      </c>
      <c r="D209" s="12" t="s">
        <v>82</v>
      </c>
      <c r="E209" s="203">
        <f>2*(1.6+3.4)*3.4</f>
        <v>34</v>
      </c>
    </row>
    <row r="210" spans="2:5" s="1" customFormat="1" ht="17.25" x14ac:dyDescent="0.25">
      <c r="B210" s="36"/>
      <c r="C210" s="45" t="s">
        <v>245</v>
      </c>
      <c r="D210" s="12" t="s">
        <v>82</v>
      </c>
      <c r="E210" s="203">
        <f xml:space="preserve"> 2*(1+2.9)*2.8</f>
        <v>21.84</v>
      </c>
    </row>
    <row r="211" spans="2:5" s="1" customFormat="1" ht="17.25" x14ac:dyDescent="0.25">
      <c r="B211" s="36"/>
      <c r="C211" s="45" t="s">
        <v>365</v>
      </c>
      <c r="D211" s="12" t="s">
        <v>82</v>
      </c>
      <c r="E211" s="203">
        <f>1*1.9</f>
        <v>1.9</v>
      </c>
    </row>
    <row r="212" spans="2:5" s="1" customFormat="1" ht="17.25" x14ac:dyDescent="0.25">
      <c r="B212" s="36"/>
      <c r="C212" s="45" t="s">
        <v>246</v>
      </c>
      <c r="D212" s="12" t="s">
        <v>82</v>
      </c>
      <c r="E212" s="203">
        <f xml:space="preserve"> 2*(0.6+0.9)*0.3</f>
        <v>0.89999999999999991</v>
      </c>
    </row>
    <row r="213" spans="2:5" s="1" customFormat="1" ht="17.25" x14ac:dyDescent="0.25">
      <c r="B213" s="36"/>
      <c r="C213" s="45" t="s">
        <v>247</v>
      </c>
      <c r="D213" s="12" t="s">
        <v>82</v>
      </c>
      <c r="E213" s="203">
        <f xml:space="preserve"> 4*0.2</f>
        <v>0.8</v>
      </c>
    </row>
    <row r="214" spans="2:5" s="1" customFormat="1" x14ac:dyDescent="0.25">
      <c r="B214" s="36"/>
      <c r="C214" s="45"/>
      <c r="D214" s="12"/>
      <c r="E214" s="203"/>
    </row>
    <row r="215" spans="2:5" s="1" customFormat="1" ht="17.25" x14ac:dyDescent="0.25">
      <c r="B215" s="249" t="s">
        <v>227</v>
      </c>
      <c r="C215" s="41" t="s">
        <v>228</v>
      </c>
      <c r="D215" s="12" t="s">
        <v>82</v>
      </c>
      <c r="E215" s="188">
        <f>SUM(E216:E220)</f>
        <v>131.32999999999998</v>
      </c>
    </row>
    <row r="216" spans="2:5" s="1" customFormat="1" ht="17.25" x14ac:dyDescent="0.25">
      <c r="B216" s="36"/>
      <c r="C216" s="45" t="s">
        <v>248</v>
      </c>
      <c r="D216" s="12" t="s">
        <v>82</v>
      </c>
      <c r="E216" s="216">
        <f>2*17.7*0.7</f>
        <v>24.779999999999998</v>
      </c>
    </row>
    <row r="217" spans="2:5" s="1" customFormat="1" ht="17.25" x14ac:dyDescent="0.25">
      <c r="B217" s="36"/>
      <c r="C217" s="45" t="s">
        <v>250</v>
      </c>
      <c r="D217" s="12" t="s">
        <v>82</v>
      </c>
      <c r="E217" s="203">
        <f>9.2+2*0.05*10.3</f>
        <v>10.229999999999999</v>
      </c>
    </row>
    <row r="218" spans="2:5" s="1" customFormat="1" ht="17.25" x14ac:dyDescent="0.25">
      <c r="B218" s="36"/>
      <c r="C218" s="45" t="s">
        <v>251</v>
      </c>
      <c r="D218" s="12" t="s">
        <v>82</v>
      </c>
      <c r="E218" s="203">
        <f>2*(0.1+0.7)/2*10.4</f>
        <v>8.32</v>
      </c>
    </row>
    <row r="219" spans="2:5" s="1" customFormat="1" x14ac:dyDescent="0.25">
      <c r="B219" s="36"/>
      <c r="C219" s="45" t="s">
        <v>288</v>
      </c>
      <c r="D219" s="12"/>
      <c r="E219" s="203"/>
    </row>
    <row r="220" spans="2:5" s="1" customFormat="1" ht="17.25" x14ac:dyDescent="0.25">
      <c r="B220" s="36"/>
      <c r="C220" s="45" t="s">
        <v>289</v>
      </c>
      <c r="D220" s="12" t="s">
        <v>82</v>
      </c>
      <c r="E220" s="216">
        <f>2*11*4</f>
        <v>88</v>
      </c>
    </row>
    <row r="221" spans="2:5" s="1" customFormat="1" x14ac:dyDescent="0.25">
      <c r="B221" s="36"/>
      <c r="C221" s="45"/>
      <c r="D221" s="12"/>
      <c r="E221" s="216"/>
    </row>
    <row r="222" spans="2:5" s="1" customFormat="1" x14ac:dyDescent="0.25">
      <c r="B222" s="186" t="s">
        <v>229</v>
      </c>
      <c r="C222" s="41" t="s">
        <v>230</v>
      </c>
      <c r="D222" s="12"/>
      <c r="E222" s="203"/>
    </row>
    <row r="223" spans="2:5" s="1" customFormat="1" x14ac:dyDescent="0.25">
      <c r="B223" s="36" t="s">
        <v>252</v>
      </c>
      <c r="C223" s="45" t="s">
        <v>276</v>
      </c>
      <c r="D223" s="12" t="s">
        <v>265</v>
      </c>
      <c r="E223" s="203">
        <f>betony!H69</f>
        <v>2554.0922399999999</v>
      </c>
    </row>
    <row r="224" spans="2:5" s="1" customFormat="1" x14ac:dyDescent="0.25">
      <c r="B224" s="36"/>
      <c r="C224" s="45" t="s">
        <v>237</v>
      </c>
      <c r="D224" s="12"/>
      <c r="E224" s="203"/>
    </row>
    <row r="225" spans="2:6" s="1" customFormat="1" x14ac:dyDescent="0.25">
      <c r="B225" s="36"/>
      <c r="C225" s="45"/>
      <c r="D225" s="12"/>
      <c r="E225" s="203"/>
    </row>
    <row r="226" spans="2:6" s="1" customFormat="1" x14ac:dyDescent="0.25">
      <c r="B226" s="36" t="s">
        <v>269</v>
      </c>
      <c r="C226" s="45" t="s">
        <v>277</v>
      </c>
      <c r="D226" s="12" t="s">
        <v>265</v>
      </c>
      <c r="E226" s="203">
        <f>betony!F74</f>
        <v>486.64000000000004</v>
      </c>
    </row>
    <row r="227" spans="2:6" s="1" customFormat="1" x14ac:dyDescent="0.25">
      <c r="B227" s="36"/>
      <c r="C227" s="45" t="s">
        <v>303</v>
      </c>
      <c r="D227" s="12"/>
      <c r="E227" s="203"/>
    </row>
    <row r="228" spans="2:6" s="1" customFormat="1" x14ac:dyDescent="0.25">
      <c r="B228" s="36"/>
      <c r="C228" s="45"/>
      <c r="D228" s="12"/>
      <c r="E228" s="203"/>
    </row>
    <row r="229" spans="2:6" s="1" customFormat="1" x14ac:dyDescent="0.25">
      <c r="B229" s="36" t="s">
        <v>268</v>
      </c>
      <c r="C229" s="45" t="s">
        <v>266</v>
      </c>
      <c r="D229" s="192"/>
      <c r="E229" s="250"/>
      <c r="F229" s="23"/>
    </row>
    <row r="230" spans="2:6" s="1" customFormat="1" x14ac:dyDescent="0.25">
      <c r="B230" s="36"/>
      <c r="C230" s="45" t="s">
        <v>267</v>
      </c>
      <c r="D230" s="192"/>
      <c r="E230" s="250"/>
      <c r="F230" s="23"/>
    </row>
    <row r="231" spans="2:6" s="1" customFormat="1" x14ac:dyDescent="0.25">
      <c r="B231" s="36"/>
      <c r="C231" s="158" t="s">
        <v>274</v>
      </c>
      <c r="D231" s="192" t="s">
        <v>265</v>
      </c>
      <c r="E231" s="250">
        <v>209.4</v>
      </c>
      <c r="F231" s="23"/>
    </row>
    <row r="232" spans="2:6" s="1" customFormat="1" x14ac:dyDescent="0.25">
      <c r="B232" s="36"/>
      <c r="C232" s="158" t="s">
        <v>275</v>
      </c>
      <c r="D232" s="192" t="s">
        <v>265</v>
      </c>
      <c r="E232" s="250">
        <v>283.60000000000002</v>
      </c>
    </row>
    <row r="233" spans="2:6" s="1" customFormat="1" x14ac:dyDescent="0.25">
      <c r="B233" s="36"/>
      <c r="C233" s="158"/>
      <c r="D233" s="192"/>
      <c r="E233" s="250"/>
    </row>
    <row r="234" spans="2:6" s="1" customFormat="1" ht="30" x14ac:dyDescent="0.25">
      <c r="B234" s="36" t="s">
        <v>280</v>
      </c>
      <c r="C234" s="189" t="s">
        <v>310</v>
      </c>
      <c r="D234" s="190"/>
      <c r="E234" s="250"/>
    </row>
    <row r="235" spans="2:6" s="1" customFormat="1" x14ac:dyDescent="0.25">
      <c r="B235" s="36"/>
      <c r="C235" s="158" t="s">
        <v>299</v>
      </c>
      <c r="D235" s="190"/>
      <c r="E235" s="250"/>
    </row>
    <row r="236" spans="2:6" s="1" customFormat="1" x14ac:dyDescent="0.25">
      <c r="B236" s="36"/>
      <c r="C236" s="158" t="s">
        <v>311</v>
      </c>
      <c r="D236" s="192" t="s">
        <v>7</v>
      </c>
      <c r="E236" s="250">
        <f>0.15*45</f>
        <v>6.75</v>
      </c>
    </row>
    <row r="237" spans="2:6" s="1" customFormat="1" x14ac:dyDescent="0.25">
      <c r="B237" s="36"/>
      <c r="C237" s="158" t="s">
        <v>300</v>
      </c>
      <c r="D237" s="192" t="s">
        <v>265</v>
      </c>
      <c r="E237" s="191">
        <f>betony!F90</f>
        <v>9.7177499999999988</v>
      </c>
    </row>
    <row r="238" spans="2:6" s="1" customFormat="1" ht="30" x14ac:dyDescent="0.25">
      <c r="B238" s="36" t="s">
        <v>346</v>
      </c>
      <c r="C238" s="189" t="s">
        <v>347</v>
      </c>
      <c r="D238" s="190"/>
      <c r="E238" s="191"/>
    </row>
    <row r="239" spans="2:6" s="1" customFormat="1" x14ac:dyDescent="0.25">
      <c r="B239" s="36"/>
      <c r="C239" s="158" t="s">
        <v>354</v>
      </c>
      <c r="D239" s="190"/>
      <c r="E239" s="191"/>
    </row>
    <row r="240" spans="2:6" s="1" customFormat="1" x14ac:dyDescent="0.25">
      <c r="B240" s="36"/>
      <c r="C240" s="158" t="s">
        <v>353</v>
      </c>
      <c r="D240" s="192" t="s">
        <v>7</v>
      </c>
      <c r="E240" s="191">
        <f>0.25*24</f>
        <v>6</v>
      </c>
    </row>
    <row r="241" spans="2:6" s="1" customFormat="1" x14ac:dyDescent="0.25">
      <c r="B241" s="36"/>
      <c r="C241" s="158" t="s">
        <v>300</v>
      </c>
      <c r="D241" s="192" t="s">
        <v>265</v>
      </c>
      <c r="E241" s="193">
        <f>betony!F98</f>
        <v>10.656000000000001</v>
      </c>
    </row>
    <row r="242" spans="2:6" s="1" customFormat="1" x14ac:dyDescent="0.25">
      <c r="B242" s="36"/>
      <c r="C242" s="158" t="s">
        <v>237</v>
      </c>
      <c r="D242" s="192"/>
      <c r="E242" s="191"/>
    </row>
    <row r="243" spans="2:6" s="1" customFormat="1" x14ac:dyDescent="0.25">
      <c r="B243" s="36"/>
      <c r="C243" s="158"/>
      <c r="D243" s="192"/>
      <c r="E243" s="194"/>
    </row>
    <row r="244" spans="2:6" s="1" customFormat="1" x14ac:dyDescent="0.25">
      <c r="B244" s="36" t="s">
        <v>278</v>
      </c>
      <c r="C244" s="37" t="s">
        <v>312</v>
      </c>
      <c r="D244" s="12"/>
      <c r="E244" s="195"/>
      <c r="F244" s="23"/>
    </row>
    <row r="245" spans="2:6" s="1" customFormat="1" ht="45" x14ac:dyDescent="0.25">
      <c r="B245" s="36" t="s">
        <v>281</v>
      </c>
      <c r="C245" s="37" t="s">
        <v>313</v>
      </c>
      <c r="D245" s="12" t="s">
        <v>7</v>
      </c>
      <c r="E245" s="195">
        <v>10</v>
      </c>
      <c r="F245" s="23"/>
    </row>
    <row r="246" spans="2:6" s="1" customFormat="1" x14ac:dyDescent="0.25">
      <c r="B246" s="36"/>
      <c r="C246" s="37" t="s">
        <v>314</v>
      </c>
      <c r="D246" s="12"/>
      <c r="E246" s="195"/>
      <c r="F246" s="23"/>
    </row>
    <row r="247" spans="2:6" s="1" customFormat="1" x14ac:dyDescent="0.25">
      <c r="B247" s="139"/>
      <c r="C247" s="196"/>
      <c r="D247" s="3"/>
      <c r="E247" s="197"/>
      <c r="F247" s="23"/>
    </row>
    <row r="248" spans="2:6" s="1" customFormat="1" ht="30" x14ac:dyDescent="0.25">
      <c r="B248" s="36" t="s">
        <v>283</v>
      </c>
      <c r="C248" s="37" t="s">
        <v>315</v>
      </c>
      <c r="D248" s="12" t="s">
        <v>7</v>
      </c>
      <c r="E248" s="195">
        <f>4*8+3*4.5</f>
        <v>45.5</v>
      </c>
      <c r="F248" s="23"/>
    </row>
    <row r="249" spans="2:6" s="1" customFormat="1" x14ac:dyDescent="0.25">
      <c r="B249" s="36"/>
      <c r="C249" s="37"/>
      <c r="D249" s="12"/>
      <c r="E249" s="195"/>
      <c r="F249" s="23"/>
    </row>
    <row r="250" spans="2:6" s="1" customFormat="1" x14ac:dyDescent="0.25">
      <c r="B250" s="36" t="s">
        <v>284</v>
      </c>
      <c r="C250" s="37" t="s">
        <v>316</v>
      </c>
      <c r="D250" s="12" t="s">
        <v>317</v>
      </c>
      <c r="E250" s="195">
        <v>121</v>
      </c>
      <c r="F250" s="23"/>
    </row>
    <row r="251" spans="2:6" s="1" customFormat="1" x14ac:dyDescent="0.25">
      <c r="B251" s="36"/>
      <c r="C251" s="37"/>
      <c r="D251" s="12"/>
      <c r="E251" s="195"/>
      <c r="F251" s="23"/>
    </row>
    <row r="252" spans="2:6" s="1" customFormat="1" x14ac:dyDescent="0.25">
      <c r="B252" s="36" t="s">
        <v>285</v>
      </c>
      <c r="C252" s="37" t="s">
        <v>318</v>
      </c>
      <c r="D252" s="12" t="s">
        <v>17</v>
      </c>
      <c r="E252" s="195">
        <v>3</v>
      </c>
      <c r="F252" s="23"/>
    </row>
    <row r="253" spans="2:6" s="1" customFormat="1" x14ac:dyDescent="0.25">
      <c r="B253" s="36"/>
      <c r="C253" s="37"/>
      <c r="D253" s="12"/>
      <c r="E253" s="195"/>
      <c r="F253" s="23"/>
    </row>
    <row r="254" spans="2:6" s="1" customFormat="1" x14ac:dyDescent="0.25">
      <c r="B254" s="36" t="s">
        <v>319</v>
      </c>
      <c r="C254" s="37" t="s">
        <v>320</v>
      </c>
      <c r="D254" s="12" t="s">
        <v>265</v>
      </c>
      <c r="E254" s="195">
        <v>250</v>
      </c>
      <c r="F254" s="23"/>
    </row>
    <row r="255" spans="2:6" s="1" customFormat="1" x14ac:dyDescent="0.25">
      <c r="B255" s="36"/>
      <c r="C255" s="37"/>
      <c r="D255" s="12"/>
      <c r="E255" s="195"/>
      <c r="F255" s="23"/>
    </row>
    <row r="256" spans="2:6" s="1" customFormat="1" x14ac:dyDescent="0.25">
      <c r="B256" s="36" t="s">
        <v>321</v>
      </c>
      <c r="C256" s="37" t="s">
        <v>322</v>
      </c>
      <c r="D256" s="12" t="s">
        <v>265</v>
      </c>
      <c r="E256" s="195">
        <v>350</v>
      </c>
      <c r="F256" s="23"/>
    </row>
    <row r="257" spans="2:6" s="1" customFormat="1" x14ac:dyDescent="0.25">
      <c r="B257" s="36"/>
      <c r="C257" s="37"/>
      <c r="D257" s="12"/>
      <c r="E257" s="195"/>
      <c r="F257" s="23"/>
    </row>
    <row r="258" spans="2:6" s="1" customFormat="1" ht="30" x14ac:dyDescent="0.25">
      <c r="B258" s="36" t="s">
        <v>323</v>
      </c>
      <c r="C258" s="37" t="s">
        <v>324</v>
      </c>
      <c r="D258" s="12" t="s">
        <v>282</v>
      </c>
      <c r="E258" s="195">
        <v>1</v>
      </c>
      <c r="F258" s="23"/>
    </row>
    <row r="259" spans="2:6" s="1" customFormat="1" x14ac:dyDescent="0.25">
      <c r="B259" s="139"/>
      <c r="C259" s="251"/>
      <c r="D259" s="3"/>
      <c r="E259" s="238"/>
      <c r="F259" s="23"/>
    </row>
    <row r="260" spans="2:6" s="1" customFormat="1" x14ac:dyDescent="0.25">
      <c r="B260" s="36" t="s">
        <v>325</v>
      </c>
      <c r="C260" s="45" t="s">
        <v>279</v>
      </c>
      <c r="D260" s="12"/>
      <c r="E260" s="203"/>
    </row>
    <row r="261" spans="2:6" s="1" customFormat="1" x14ac:dyDescent="0.25">
      <c r="B261" s="36"/>
      <c r="C261" s="45"/>
      <c r="D261" s="12"/>
      <c r="E261" s="203"/>
    </row>
    <row r="262" spans="2:6" s="1" customFormat="1" ht="45" x14ac:dyDescent="0.25">
      <c r="B262" s="36" t="s">
        <v>340</v>
      </c>
      <c r="C262" s="211" t="s">
        <v>339</v>
      </c>
      <c r="D262" s="12" t="s">
        <v>282</v>
      </c>
      <c r="E262" s="203">
        <v>1</v>
      </c>
    </row>
    <row r="263" spans="2:6" s="1" customFormat="1" x14ac:dyDescent="0.25">
      <c r="B263" s="36"/>
      <c r="C263" s="214"/>
      <c r="D263" s="12"/>
      <c r="E263" s="46"/>
    </row>
    <row r="264" spans="2:6" s="1" customFormat="1" ht="60" x14ac:dyDescent="0.25">
      <c r="B264" s="36" t="s">
        <v>341</v>
      </c>
      <c r="C264" s="37" t="s">
        <v>343</v>
      </c>
      <c r="D264" s="12" t="s">
        <v>282</v>
      </c>
      <c r="E264" s="46">
        <v>1</v>
      </c>
    </row>
    <row r="265" spans="2:6" s="1" customFormat="1" x14ac:dyDescent="0.25">
      <c r="B265" s="36"/>
      <c r="C265" s="214"/>
      <c r="D265" s="12"/>
      <c r="E265" s="46"/>
    </row>
    <row r="266" spans="2:6" s="1" customFormat="1" x14ac:dyDescent="0.25">
      <c r="B266" s="36" t="s">
        <v>342</v>
      </c>
      <c r="C266" s="37" t="s">
        <v>359</v>
      </c>
      <c r="D266" s="12" t="s">
        <v>282</v>
      </c>
      <c r="E266" s="203">
        <v>1</v>
      </c>
    </row>
    <row r="267" spans="2:6" s="1" customFormat="1" ht="15.75" thickBot="1" x14ac:dyDescent="0.3">
      <c r="B267" s="252"/>
      <c r="C267" s="253" t="s">
        <v>360</v>
      </c>
      <c r="D267" s="253"/>
      <c r="E267" s="254"/>
    </row>
    <row r="268" spans="2:6" s="1" customFormat="1" x14ac:dyDescent="0.25">
      <c r="B268" s="29"/>
      <c r="C268" s="255"/>
      <c r="D268" s="29"/>
      <c r="E268" s="29"/>
      <c r="F268" s="23"/>
    </row>
    <row r="269" spans="2:6" s="1" customFormat="1" x14ac:dyDescent="0.25">
      <c r="B269" s="29"/>
      <c r="C269" s="29"/>
      <c r="D269" s="29"/>
      <c r="E269" s="29"/>
      <c r="F269" s="23"/>
    </row>
    <row r="270" spans="2:6" s="1" customFormat="1" x14ac:dyDescent="0.25">
      <c r="B270" s="29"/>
      <c r="C270" s="29"/>
      <c r="D270" s="29"/>
      <c r="E270" s="29"/>
      <c r="F270" s="23"/>
    </row>
    <row r="271" spans="2:6" x14ac:dyDescent="0.25">
      <c r="B271" s="23"/>
      <c r="C271" s="23"/>
      <c r="D271" s="23"/>
      <c r="E271" s="23"/>
      <c r="F271" s="23"/>
    </row>
    <row r="272" spans="2:6" x14ac:dyDescent="0.25">
      <c r="B272" s="23"/>
      <c r="C272" s="23"/>
      <c r="D272" s="23"/>
      <c r="E272" s="23"/>
      <c r="F272" s="23"/>
    </row>
    <row r="273" spans="2:6" x14ac:dyDescent="0.25">
      <c r="B273" s="23"/>
      <c r="C273" s="23"/>
      <c r="D273" s="23"/>
      <c r="E273" s="23"/>
      <c r="F273" s="23"/>
    </row>
    <row r="274" spans="2:6" x14ac:dyDescent="0.25">
      <c r="B274" s="23"/>
      <c r="C274" s="23"/>
      <c r="D274" s="23"/>
      <c r="E274" s="23"/>
      <c r="F274" s="23"/>
    </row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Header>&amp;RVýkaz výměr SO 04</oddHeader>
    <oddFooter>&amp;L&amp;F&amp;C&amp;P z &amp;N&amp;R&amp;A</oddFooter>
  </headerFooter>
  <rowBreaks count="6" manualBreakCount="6">
    <brk id="34" min="1" max="4" man="1"/>
    <brk id="65" min="1" max="4" man="1"/>
    <brk id="106" min="1" max="4" man="1"/>
    <brk id="153" min="1" max="4" man="1"/>
    <brk id="194" min="1" max="4" man="1"/>
    <brk id="237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DB04F-7C7C-4C75-9901-D8878128423D}">
  <dimension ref="A1:N125"/>
  <sheetViews>
    <sheetView topLeftCell="A58" zoomScaleNormal="100" workbookViewId="0">
      <selection activeCell="E67" sqref="E67"/>
    </sheetView>
  </sheetViews>
  <sheetFormatPr defaultRowHeight="15" x14ac:dyDescent="0.25"/>
  <cols>
    <col min="1" max="16384" width="9.140625" style="38"/>
  </cols>
  <sheetData>
    <row r="1" spans="1:9" s="1" customFormat="1" ht="15.75" x14ac:dyDescent="0.25">
      <c r="A1" s="2" t="s">
        <v>37</v>
      </c>
      <c r="B1" s="4"/>
    </row>
    <row r="2" spans="1:9" s="1" customFormat="1" ht="15.75" x14ac:dyDescent="0.25">
      <c r="A2" s="2" t="s">
        <v>38</v>
      </c>
      <c r="B2" s="4"/>
    </row>
    <row r="3" spans="1:9" s="1" customFormat="1" ht="15.75" x14ac:dyDescent="0.25">
      <c r="A3" s="2"/>
      <c r="B3" s="4"/>
    </row>
    <row r="4" spans="1:9" s="1" customFormat="1" ht="15.75" x14ac:dyDescent="0.25">
      <c r="A4" s="9" t="s">
        <v>1</v>
      </c>
      <c r="B4" s="4"/>
    </row>
    <row r="5" spans="1:9" s="1" customFormat="1" ht="15.75" x14ac:dyDescent="0.25">
      <c r="A5" s="9" t="s">
        <v>2</v>
      </c>
      <c r="B5" s="4"/>
    </row>
    <row r="6" spans="1:9" s="1" customFormat="1" x14ac:dyDescent="0.25">
      <c r="A6" s="10" t="s">
        <v>39</v>
      </c>
    </row>
    <row r="7" spans="1:9" s="1" customFormat="1" x14ac:dyDescent="0.25"/>
    <row r="8" spans="1:9" s="1" customFormat="1" ht="15.75" x14ac:dyDescent="0.25">
      <c r="A8" s="8" t="s">
        <v>40</v>
      </c>
      <c r="B8" s="7"/>
    </row>
    <row r="9" spans="1:9" s="1" customFormat="1" x14ac:dyDescent="0.25">
      <c r="B9" s="7"/>
    </row>
    <row r="10" spans="1:9" s="1" customFormat="1" ht="18" x14ac:dyDescent="0.25">
      <c r="A10" s="6" t="s">
        <v>357</v>
      </c>
      <c r="B10" s="7"/>
    </row>
    <row r="11" spans="1:9" s="1" customFormat="1" ht="13.5" customHeight="1" x14ac:dyDescent="0.25">
      <c r="A11" s="6"/>
      <c r="B11" s="7"/>
    </row>
    <row r="12" spans="1:9" x14ac:dyDescent="0.25">
      <c r="A12" s="64" t="s">
        <v>113</v>
      </c>
      <c r="I12" s="63"/>
    </row>
    <row r="13" spans="1:9" x14ac:dyDescent="0.25">
      <c r="A13" s="63" t="s">
        <v>128</v>
      </c>
      <c r="D13" s="38" t="s">
        <v>130</v>
      </c>
    </row>
    <row r="14" spans="1:9" x14ac:dyDescent="0.25">
      <c r="A14" s="180">
        <v>1</v>
      </c>
      <c r="B14" s="95" t="s">
        <v>114</v>
      </c>
      <c r="C14" s="29"/>
      <c r="D14" s="29"/>
      <c r="E14" s="29"/>
      <c r="F14" s="29"/>
      <c r="G14" s="29"/>
      <c r="H14" s="29"/>
    </row>
    <row r="15" spans="1:9" x14ac:dyDescent="0.25">
      <c r="A15" s="96"/>
      <c r="B15" s="29"/>
      <c r="C15" s="29"/>
      <c r="D15" s="29"/>
      <c r="E15" s="29"/>
      <c r="F15" s="29"/>
      <c r="G15" s="29"/>
      <c r="H15" s="29"/>
    </row>
    <row r="16" spans="1:9" x14ac:dyDescent="0.25">
      <c r="A16" s="97" t="s">
        <v>52</v>
      </c>
      <c r="B16" s="98" t="s">
        <v>53</v>
      </c>
      <c r="C16" s="96" t="s">
        <v>54</v>
      </c>
      <c r="D16" s="99" t="s">
        <v>55</v>
      </c>
      <c r="E16" s="99" t="s">
        <v>56</v>
      </c>
      <c r="F16" s="29"/>
      <c r="G16" s="29"/>
      <c r="H16" s="29"/>
    </row>
    <row r="17" spans="1:10" x14ac:dyDescent="0.25">
      <c r="A17" s="97"/>
      <c r="B17" s="100" t="s">
        <v>7</v>
      </c>
      <c r="C17" s="29"/>
      <c r="D17" s="24" t="s">
        <v>57</v>
      </c>
      <c r="E17" s="24" t="s">
        <v>58</v>
      </c>
      <c r="F17" s="29"/>
      <c r="G17" s="29"/>
      <c r="H17" s="29"/>
    </row>
    <row r="18" spans="1:10" x14ac:dyDescent="0.25">
      <c r="A18" s="97" t="s">
        <v>115</v>
      </c>
      <c r="B18" s="101">
        <v>0</v>
      </c>
      <c r="C18" s="29"/>
      <c r="D18" s="101">
        <v>2</v>
      </c>
      <c r="E18" s="101"/>
      <c r="F18" s="29"/>
      <c r="G18" s="29"/>
      <c r="H18" s="29"/>
    </row>
    <row r="19" spans="1:10" x14ac:dyDescent="0.25">
      <c r="A19" s="29"/>
      <c r="B19" s="101"/>
      <c r="C19" s="30">
        <f>B20-B18</f>
        <v>9.5</v>
      </c>
      <c r="D19" s="101"/>
      <c r="E19" s="101">
        <f>(D18+D20)/2*C19</f>
        <v>26.125</v>
      </c>
      <c r="F19" s="29"/>
      <c r="G19" s="29"/>
      <c r="H19" s="29"/>
    </row>
    <row r="20" spans="1:10" x14ac:dyDescent="0.25">
      <c r="A20" s="102">
        <v>1</v>
      </c>
      <c r="B20" s="101">
        <v>9.5</v>
      </c>
      <c r="C20" s="29"/>
      <c r="D20" s="101">
        <v>3.5</v>
      </c>
      <c r="E20" s="101"/>
      <c r="F20" s="29"/>
      <c r="G20" s="29"/>
      <c r="H20" s="29"/>
    </row>
    <row r="21" spans="1:10" x14ac:dyDescent="0.25">
      <c r="A21" s="31"/>
      <c r="B21" s="32"/>
      <c r="C21" s="30">
        <f>B22-B20</f>
        <v>10</v>
      </c>
      <c r="D21" s="28"/>
      <c r="E21" s="101">
        <f>(D20+D22)/2*C21</f>
        <v>58.5</v>
      </c>
      <c r="F21" s="29"/>
      <c r="G21" s="29"/>
      <c r="H21" s="29"/>
    </row>
    <row r="22" spans="1:10" x14ac:dyDescent="0.25">
      <c r="A22" s="102">
        <v>2</v>
      </c>
      <c r="B22" s="32">
        <v>19.5</v>
      </c>
      <c r="C22" s="29"/>
      <c r="D22" s="28">
        <v>8.1999999999999993</v>
      </c>
      <c r="E22" s="28"/>
      <c r="F22" s="29"/>
      <c r="G22" s="29"/>
      <c r="H22" s="29"/>
    </row>
    <row r="23" spans="1:10" x14ac:dyDescent="0.25">
      <c r="A23" s="31"/>
      <c r="B23" s="32"/>
      <c r="C23" s="30">
        <f>B24-B22</f>
        <v>5</v>
      </c>
      <c r="D23" s="28"/>
      <c r="E23" s="101">
        <f>(D22+D24)/2*C23</f>
        <v>41.75</v>
      </c>
      <c r="F23" s="29"/>
      <c r="G23" s="29"/>
      <c r="H23" s="29"/>
    </row>
    <row r="24" spans="1:10" x14ac:dyDescent="0.25">
      <c r="A24" s="102">
        <v>2</v>
      </c>
      <c r="B24" s="32">
        <v>24.5</v>
      </c>
      <c r="C24" s="29"/>
      <c r="D24" s="103">
        <v>8.5</v>
      </c>
      <c r="E24" s="28"/>
      <c r="F24" s="29"/>
      <c r="G24" s="29"/>
      <c r="H24" s="29"/>
    </row>
    <row r="25" spans="1:10" x14ac:dyDescent="0.25">
      <c r="A25" s="31"/>
      <c r="B25" s="32"/>
      <c r="C25" s="30">
        <f>B26-B24</f>
        <v>4.1000000000000014</v>
      </c>
      <c r="D25" s="28"/>
      <c r="E25" s="101">
        <f>(D24+D26)/2*C25</f>
        <v>35.260000000000012</v>
      </c>
      <c r="F25" s="29"/>
      <c r="G25" s="29"/>
      <c r="H25" s="29"/>
    </row>
    <row r="26" spans="1:10" x14ac:dyDescent="0.25">
      <c r="A26" s="102">
        <v>4</v>
      </c>
      <c r="B26" s="32">
        <v>28.6</v>
      </c>
      <c r="C26" s="29"/>
      <c r="D26" s="28">
        <v>8.6999999999999993</v>
      </c>
      <c r="E26" s="28"/>
      <c r="F26" s="29"/>
      <c r="G26" s="29"/>
      <c r="H26" s="29"/>
      <c r="J26" s="63"/>
    </row>
    <row r="27" spans="1:10" x14ac:dyDescent="0.25">
      <c r="A27" s="31"/>
      <c r="B27" s="32"/>
      <c r="C27" s="30">
        <f>B28-B26</f>
        <v>1.75</v>
      </c>
      <c r="D27" s="28"/>
      <c r="E27" s="101">
        <f>(D26+D28)/2*C27</f>
        <v>15.662499999999998</v>
      </c>
      <c r="F27" s="29"/>
      <c r="G27" s="29"/>
      <c r="H27" s="29"/>
    </row>
    <row r="28" spans="1:10" x14ac:dyDescent="0.25">
      <c r="A28" s="102">
        <v>5</v>
      </c>
      <c r="B28" s="32">
        <v>30.35</v>
      </c>
      <c r="C28" s="29"/>
      <c r="D28" s="28">
        <v>9.1999999999999993</v>
      </c>
      <c r="E28" s="28"/>
      <c r="F28" s="29"/>
      <c r="G28" s="29"/>
      <c r="H28" s="29"/>
    </row>
    <row r="29" spans="1:10" x14ac:dyDescent="0.25">
      <c r="A29" s="31"/>
      <c r="B29" s="32"/>
      <c r="C29" s="30">
        <f>B30-B28</f>
        <v>1.8500000000000014</v>
      </c>
      <c r="D29" s="28"/>
      <c r="E29" s="101">
        <f>(D28+D30)/2*C29</f>
        <v>21.645000000000014</v>
      </c>
      <c r="F29" s="29"/>
      <c r="G29" s="29"/>
      <c r="H29" s="29"/>
    </row>
    <row r="30" spans="1:10" x14ac:dyDescent="0.25">
      <c r="A30" s="102">
        <v>6</v>
      </c>
      <c r="B30" s="32">
        <v>32.200000000000003</v>
      </c>
      <c r="C30" s="29"/>
      <c r="D30" s="28">
        <v>14.2</v>
      </c>
      <c r="E30" s="28"/>
      <c r="F30" s="29"/>
      <c r="G30" s="29"/>
      <c r="H30" s="29"/>
    </row>
    <row r="31" spans="1:10" x14ac:dyDescent="0.25">
      <c r="A31" s="29"/>
      <c r="B31" s="32"/>
      <c r="C31" s="30">
        <f>B32-B30</f>
        <v>6.5999999999999943</v>
      </c>
      <c r="D31" s="28"/>
      <c r="E31" s="101">
        <f>(D30+D32)/2*C31</f>
        <v>61.709999999999944</v>
      </c>
      <c r="F31" s="29"/>
      <c r="G31" s="29"/>
      <c r="H31" s="29"/>
    </row>
    <row r="32" spans="1:10" x14ac:dyDescent="0.25">
      <c r="A32" s="102">
        <v>7</v>
      </c>
      <c r="B32" s="32">
        <v>38.799999999999997</v>
      </c>
      <c r="C32" s="29"/>
      <c r="D32" s="28">
        <v>4.5</v>
      </c>
      <c r="E32" s="28"/>
      <c r="F32" s="29"/>
      <c r="G32" s="29"/>
      <c r="H32" s="29"/>
    </row>
    <row r="33" spans="1:11" x14ac:dyDescent="0.25">
      <c r="A33" s="31"/>
      <c r="B33" s="28"/>
      <c r="C33" s="30">
        <f>B34-B32</f>
        <v>1.2000000000000028</v>
      </c>
      <c r="D33" s="28"/>
      <c r="E33" s="101">
        <f>(D32+D34)/2*C33</f>
        <v>3.3000000000000078</v>
      </c>
      <c r="F33" s="29"/>
      <c r="G33" s="29"/>
      <c r="H33" s="29"/>
    </row>
    <row r="34" spans="1:11" x14ac:dyDescent="0.25">
      <c r="A34" s="102">
        <v>8</v>
      </c>
      <c r="B34" s="32">
        <v>40</v>
      </c>
      <c r="C34" s="31"/>
      <c r="D34" s="28">
        <v>1</v>
      </c>
      <c r="E34" s="28"/>
      <c r="F34" s="29"/>
      <c r="G34" s="29"/>
      <c r="H34" s="29"/>
    </row>
    <row r="35" spans="1:11" x14ac:dyDescent="0.25">
      <c r="A35" s="104" t="s">
        <v>116</v>
      </c>
      <c r="B35" s="30"/>
      <c r="C35" s="30"/>
      <c r="D35" s="30"/>
      <c r="E35" s="32">
        <f>SUM(E19:E34)</f>
        <v>263.95249999999999</v>
      </c>
      <c r="F35" s="29"/>
      <c r="G35" s="29"/>
      <c r="H35" s="29"/>
    </row>
    <row r="36" spans="1:11" x14ac:dyDescent="0.25">
      <c r="A36" s="104" t="s">
        <v>117</v>
      </c>
      <c r="B36" s="30"/>
      <c r="C36" s="30"/>
      <c r="D36" s="30"/>
      <c r="E36" s="32"/>
      <c r="F36" s="29"/>
      <c r="G36" s="29"/>
      <c r="H36" s="29"/>
    </row>
    <row r="37" spans="1:11" x14ac:dyDescent="0.25">
      <c r="A37" s="104" t="s">
        <v>118</v>
      </c>
      <c r="B37" s="30"/>
      <c r="C37" s="30"/>
      <c r="D37" s="104" t="s">
        <v>129</v>
      </c>
      <c r="E37" s="32"/>
      <c r="F37" s="29"/>
      <c r="G37" s="29"/>
      <c r="H37" s="29"/>
    </row>
    <row r="38" spans="1:11" x14ac:dyDescent="0.25">
      <c r="A38" s="92" t="s">
        <v>119</v>
      </c>
      <c r="B38" s="92"/>
      <c r="C38" s="93">
        <v>2</v>
      </c>
      <c r="D38" s="92" t="s">
        <v>120</v>
      </c>
      <c r="E38" s="94">
        <f>E35*C38</f>
        <v>527.90499999999997</v>
      </c>
      <c r="F38" s="24" t="s">
        <v>58</v>
      </c>
      <c r="H38" s="29"/>
      <c r="K38" s="29"/>
    </row>
    <row r="39" spans="1:11" x14ac:dyDescent="0.25">
      <c r="A39" s="180">
        <v>2</v>
      </c>
      <c r="B39" s="95" t="s">
        <v>121</v>
      </c>
      <c r="C39" s="95"/>
      <c r="D39" s="30"/>
      <c r="E39" s="29"/>
      <c r="F39" s="29"/>
    </row>
    <row r="40" spans="1:11" x14ac:dyDescent="0.25">
      <c r="A40" s="96" t="s">
        <v>122</v>
      </c>
      <c r="B40" s="29"/>
      <c r="C40" s="29">
        <v>31</v>
      </c>
      <c r="D40" s="96" t="s">
        <v>7</v>
      </c>
      <c r="E40" s="29"/>
      <c r="F40" s="25"/>
    </row>
    <row r="41" spans="1:11" x14ac:dyDescent="0.25">
      <c r="A41" s="63" t="s">
        <v>123</v>
      </c>
      <c r="C41" s="70">
        <v>3.5</v>
      </c>
      <c r="D41" s="63" t="s">
        <v>7</v>
      </c>
      <c r="F41" s="86"/>
    </row>
    <row r="42" spans="1:11" x14ac:dyDescent="0.25">
      <c r="A42" s="63" t="s">
        <v>124</v>
      </c>
      <c r="C42" s="38">
        <v>0.15</v>
      </c>
      <c r="D42" s="63" t="s">
        <v>7</v>
      </c>
      <c r="F42" s="86"/>
    </row>
    <row r="43" spans="1:11" x14ac:dyDescent="0.25">
      <c r="A43" s="87" t="s">
        <v>56</v>
      </c>
      <c r="B43" s="88"/>
      <c r="C43" s="88"/>
      <c r="D43" s="88"/>
      <c r="E43" s="89">
        <f>C40*C41*C42</f>
        <v>16.274999999999999</v>
      </c>
      <c r="F43" s="182" t="s">
        <v>58</v>
      </c>
    </row>
    <row r="44" spans="1:11" x14ac:dyDescent="0.25">
      <c r="A44" s="92" t="s">
        <v>125</v>
      </c>
      <c r="B44" s="92"/>
      <c r="C44" s="93">
        <v>2</v>
      </c>
      <c r="D44" s="92" t="s">
        <v>120</v>
      </c>
      <c r="E44" s="94">
        <f>E43*C44</f>
        <v>32.549999999999997</v>
      </c>
      <c r="F44" s="24" t="s">
        <v>58</v>
      </c>
      <c r="H44" s="29"/>
    </row>
    <row r="46" spans="1:11" x14ac:dyDescent="0.25">
      <c r="A46" s="181">
        <v>5</v>
      </c>
      <c r="B46" s="95" t="s">
        <v>127</v>
      </c>
    </row>
    <row r="48" spans="1:11" x14ac:dyDescent="0.25">
      <c r="A48" s="65" t="s">
        <v>52</v>
      </c>
      <c r="B48" s="66" t="s">
        <v>53</v>
      </c>
      <c r="C48" s="63" t="s">
        <v>54</v>
      </c>
      <c r="D48" s="67" t="s">
        <v>55</v>
      </c>
      <c r="E48" s="67" t="s">
        <v>56</v>
      </c>
    </row>
    <row r="49" spans="1:5" x14ac:dyDescent="0.25">
      <c r="A49" s="65"/>
      <c r="B49" s="68" t="s">
        <v>7</v>
      </c>
      <c r="D49" s="90" t="s">
        <v>57</v>
      </c>
      <c r="E49" s="90" t="s">
        <v>58</v>
      </c>
    </row>
    <row r="50" spans="1:5" x14ac:dyDescent="0.25">
      <c r="A50" s="65" t="s">
        <v>115</v>
      </c>
      <c r="B50" s="69">
        <v>0</v>
      </c>
      <c r="D50" s="69">
        <v>2</v>
      </c>
      <c r="E50" s="69"/>
    </row>
    <row r="51" spans="1:5" x14ac:dyDescent="0.25">
      <c r="B51" s="69"/>
      <c r="C51" s="70">
        <f>B52-B50</f>
        <v>9.5</v>
      </c>
      <c r="D51" s="69"/>
      <c r="E51" s="69">
        <f>(D50+D52)/2*C51</f>
        <v>26.125</v>
      </c>
    </row>
    <row r="52" spans="1:5" x14ac:dyDescent="0.25">
      <c r="A52" s="71">
        <v>1</v>
      </c>
      <c r="B52" s="69">
        <v>9.5</v>
      </c>
      <c r="D52" s="69">
        <v>3.5</v>
      </c>
      <c r="E52" s="69"/>
    </row>
    <row r="53" spans="1:5" x14ac:dyDescent="0.25">
      <c r="A53" s="72"/>
      <c r="B53" s="73"/>
      <c r="C53" s="70">
        <f>B54-B52</f>
        <v>10</v>
      </c>
      <c r="D53" s="74"/>
      <c r="E53" s="69">
        <f>(D52+D54)/2*C53</f>
        <v>58.5</v>
      </c>
    </row>
    <row r="54" spans="1:5" x14ac:dyDescent="0.25">
      <c r="A54" s="71">
        <v>2</v>
      </c>
      <c r="B54" s="73">
        <v>19.5</v>
      </c>
      <c r="D54" s="74">
        <v>8.1999999999999993</v>
      </c>
      <c r="E54" s="74"/>
    </row>
    <row r="55" spans="1:5" x14ac:dyDescent="0.25">
      <c r="A55" s="72"/>
      <c r="B55" s="73"/>
      <c r="C55" s="70">
        <f>B56-B54</f>
        <v>5</v>
      </c>
      <c r="D55" s="74"/>
      <c r="E55" s="69">
        <f>(D54+D56)/2*C55</f>
        <v>41.75</v>
      </c>
    </row>
    <row r="56" spans="1:5" x14ac:dyDescent="0.25">
      <c r="A56" s="71">
        <v>2</v>
      </c>
      <c r="B56" s="73">
        <v>24.5</v>
      </c>
      <c r="D56" s="75">
        <v>8.5</v>
      </c>
      <c r="E56" s="74"/>
    </row>
    <row r="57" spans="1:5" x14ac:dyDescent="0.25">
      <c r="A57" s="72"/>
      <c r="B57" s="73"/>
      <c r="C57" s="70">
        <f>B58-B56</f>
        <v>4.1000000000000014</v>
      </c>
      <c r="D57" s="74"/>
      <c r="E57" s="69">
        <f>(D56+D58)/2*C57</f>
        <v>35.260000000000012</v>
      </c>
    </row>
    <row r="58" spans="1:5" x14ac:dyDescent="0.25">
      <c r="A58" s="71">
        <v>4</v>
      </c>
      <c r="B58" s="73">
        <v>28.6</v>
      </c>
      <c r="D58" s="74">
        <v>8.6999999999999993</v>
      </c>
      <c r="E58" s="74"/>
    </row>
    <row r="59" spans="1:5" x14ac:dyDescent="0.25">
      <c r="A59" s="72"/>
      <c r="B59" s="73"/>
      <c r="C59" s="70">
        <f>B60-B58</f>
        <v>1.75</v>
      </c>
      <c r="D59" s="74"/>
      <c r="E59" s="69">
        <f>(D58+D60)/2*C59</f>
        <v>13.912499999999998</v>
      </c>
    </row>
    <row r="60" spans="1:5" x14ac:dyDescent="0.25">
      <c r="A60" s="71">
        <v>5</v>
      </c>
      <c r="B60" s="73">
        <v>30.35</v>
      </c>
      <c r="D60" s="74">
        <v>7.2</v>
      </c>
      <c r="E60" s="74"/>
    </row>
    <row r="61" spans="1:5" x14ac:dyDescent="0.25">
      <c r="A61" s="72"/>
      <c r="B61" s="73"/>
      <c r="C61" s="70">
        <f>B62-B60</f>
        <v>1.8500000000000014</v>
      </c>
      <c r="D61" s="74"/>
      <c r="E61" s="69">
        <f>(D60+D62)/2*C61</f>
        <v>14.615000000000013</v>
      </c>
    </row>
    <row r="62" spans="1:5" x14ac:dyDescent="0.25">
      <c r="A62" s="71">
        <v>6</v>
      </c>
      <c r="B62" s="73">
        <v>32.200000000000003</v>
      </c>
      <c r="D62" s="74">
        <v>8.6</v>
      </c>
      <c r="E62" s="74"/>
    </row>
    <row r="63" spans="1:5" x14ac:dyDescent="0.25">
      <c r="B63" s="73"/>
      <c r="C63" s="70">
        <f>B64-B62</f>
        <v>6.5999999999999943</v>
      </c>
      <c r="D63" s="74"/>
      <c r="E63" s="69">
        <f>(D62+D64)/2*C63</f>
        <v>41.579999999999963</v>
      </c>
    </row>
    <row r="64" spans="1:5" x14ac:dyDescent="0.25">
      <c r="A64" s="71">
        <v>7</v>
      </c>
      <c r="B64" s="73">
        <v>38.799999999999997</v>
      </c>
      <c r="D64" s="74">
        <v>4</v>
      </c>
      <c r="E64" s="74"/>
    </row>
    <row r="65" spans="1:14" x14ac:dyDescent="0.25">
      <c r="A65" s="72"/>
      <c r="B65" s="74"/>
      <c r="C65" s="70">
        <f>B66-B64</f>
        <v>1.2000000000000028</v>
      </c>
      <c r="D65" s="74"/>
      <c r="E65" s="69">
        <f>(D64+D66)/2*C65</f>
        <v>3.0000000000000071</v>
      </c>
    </row>
    <row r="66" spans="1:14" x14ac:dyDescent="0.25">
      <c r="A66" s="76">
        <v>8</v>
      </c>
      <c r="B66" s="77">
        <v>40</v>
      </c>
      <c r="C66" s="78"/>
      <c r="D66" s="79">
        <v>1</v>
      </c>
      <c r="E66" s="79"/>
      <c r="F66" s="91"/>
    </row>
    <row r="67" spans="1:14" x14ac:dyDescent="0.25">
      <c r="A67" s="80" t="s">
        <v>116</v>
      </c>
      <c r="B67" s="70"/>
      <c r="C67" s="70"/>
      <c r="D67" s="70"/>
      <c r="E67" s="73">
        <f>SUM(E51:E66)</f>
        <v>234.74249999999998</v>
      </c>
      <c r="F67" s="90" t="s">
        <v>58</v>
      </c>
    </row>
    <row r="68" spans="1:14" ht="15.75" thickBot="1" x14ac:dyDescent="0.3">
      <c r="A68" s="71"/>
      <c r="B68" s="73"/>
      <c r="C68" s="72"/>
      <c r="D68" s="74"/>
      <c r="E68" s="74"/>
      <c r="G68" s="29"/>
    </row>
    <row r="69" spans="1:14" ht="15.75" thickBot="1" x14ac:dyDescent="0.3">
      <c r="A69" s="81" t="s">
        <v>127</v>
      </c>
      <c r="B69" s="82"/>
      <c r="C69" s="83">
        <v>2</v>
      </c>
      <c r="D69" s="82" t="s">
        <v>120</v>
      </c>
      <c r="E69" s="84">
        <f>E67*C69</f>
        <v>469.48499999999996</v>
      </c>
      <c r="F69" s="85" t="s">
        <v>58</v>
      </c>
      <c r="G69" s="94"/>
    </row>
    <row r="70" spans="1:14" x14ac:dyDescent="0.25">
      <c r="A70" s="71"/>
      <c r="B70" s="73"/>
      <c r="C70" s="72"/>
      <c r="D70" s="74"/>
      <c r="E70" s="74"/>
      <c r="G70" s="29"/>
    </row>
    <row r="71" spans="1:14" x14ac:dyDescent="0.25">
      <c r="A71" s="107" t="s">
        <v>133</v>
      </c>
      <c r="B71" s="108"/>
      <c r="C71" s="20"/>
      <c r="D71" s="20"/>
      <c r="E71" s="20"/>
      <c r="F71" s="20"/>
      <c r="G71" s="1"/>
      <c r="H71" s="57"/>
      <c r="I71" s="106"/>
      <c r="J71" s="106"/>
      <c r="K71" s="106"/>
      <c r="L71" s="105"/>
      <c r="M71" s="105"/>
      <c r="N71" s="105"/>
    </row>
    <row r="72" spans="1:14" x14ac:dyDescent="0.25">
      <c r="A72" s="107" t="s">
        <v>114</v>
      </c>
      <c r="B72" s="108"/>
      <c r="C72" s="20"/>
      <c r="D72" s="20"/>
      <c r="E72" s="20"/>
      <c r="F72" s="20"/>
      <c r="G72" s="1"/>
      <c r="H72" s="57"/>
      <c r="I72" s="106"/>
      <c r="J72" s="106"/>
      <c r="K72" s="106"/>
      <c r="L72" s="105"/>
      <c r="M72" s="105"/>
      <c r="N72" s="105"/>
    </row>
    <row r="73" spans="1:14" x14ac:dyDescent="0.25">
      <c r="A73" s="51" t="s">
        <v>52</v>
      </c>
      <c r="B73" s="52" t="s">
        <v>53</v>
      </c>
      <c r="C73" s="50" t="s">
        <v>54</v>
      </c>
      <c r="D73" s="53" t="s">
        <v>55</v>
      </c>
      <c r="E73" s="53" t="s">
        <v>56</v>
      </c>
      <c r="F73" s="20"/>
      <c r="G73" s="1"/>
      <c r="H73" s="57"/>
      <c r="I73" s="106"/>
      <c r="J73" s="106"/>
      <c r="K73" s="106"/>
      <c r="L73" s="105"/>
      <c r="M73" s="105"/>
      <c r="N73" s="105"/>
    </row>
    <row r="74" spans="1:14" x14ac:dyDescent="0.25">
      <c r="A74" s="51"/>
      <c r="B74" s="54" t="s">
        <v>7</v>
      </c>
      <c r="C74" s="1"/>
      <c r="D74" s="59" t="s">
        <v>57</v>
      </c>
      <c r="E74" s="59" t="s">
        <v>58</v>
      </c>
      <c r="F74" s="56"/>
      <c r="G74" s="57"/>
      <c r="H74" s="57"/>
      <c r="I74" s="106"/>
      <c r="J74" s="106"/>
      <c r="K74" s="106"/>
      <c r="L74" s="105"/>
      <c r="M74" s="105"/>
      <c r="N74" s="105"/>
    </row>
    <row r="75" spans="1:14" x14ac:dyDescent="0.25">
      <c r="A75" s="51" t="s">
        <v>115</v>
      </c>
      <c r="B75" s="55">
        <v>2</v>
      </c>
      <c r="C75" s="1"/>
      <c r="D75" s="55">
        <v>0.8</v>
      </c>
      <c r="E75" s="55"/>
      <c r="F75" s="56"/>
      <c r="G75" s="57"/>
      <c r="H75" s="57"/>
      <c r="I75" s="106"/>
      <c r="J75" s="106"/>
      <c r="K75" s="106"/>
      <c r="L75" s="105"/>
      <c r="M75" s="105"/>
      <c r="N75" s="105"/>
    </row>
    <row r="76" spans="1:14" x14ac:dyDescent="0.25">
      <c r="A76" s="1"/>
      <c r="B76" s="55"/>
      <c r="C76" s="19">
        <v>1.2</v>
      </c>
      <c r="D76" s="55"/>
      <c r="E76" s="55">
        <f>(D75+D77)/2*C76</f>
        <v>1.4400000000000002</v>
      </c>
      <c r="F76" s="56"/>
      <c r="G76" s="57"/>
      <c r="H76" s="57"/>
      <c r="I76" s="106"/>
      <c r="J76" s="106"/>
      <c r="K76" s="106"/>
      <c r="L76" s="105"/>
      <c r="M76" s="105"/>
      <c r="N76" s="105"/>
    </row>
    <row r="77" spans="1:14" x14ac:dyDescent="0.25">
      <c r="A77" s="56" t="s">
        <v>134</v>
      </c>
      <c r="B77" s="55">
        <v>9.5</v>
      </c>
      <c r="C77" s="1"/>
      <c r="D77" s="55">
        <v>1.6</v>
      </c>
      <c r="E77" s="55"/>
      <c r="F77" s="56"/>
      <c r="G77" s="57"/>
      <c r="H77" s="57"/>
      <c r="I77" s="106"/>
      <c r="J77" s="106"/>
      <c r="K77" s="106"/>
      <c r="L77" s="105"/>
      <c r="M77" s="105"/>
      <c r="N77" s="105"/>
    </row>
    <row r="78" spans="1:14" x14ac:dyDescent="0.25">
      <c r="A78" s="20"/>
      <c r="B78" s="21"/>
      <c r="C78" s="19">
        <v>2</v>
      </c>
      <c r="D78" s="22"/>
      <c r="E78" s="55">
        <f>(D77+D79)/2*C78</f>
        <v>6</v>
      </c>
      <c r="F78" s="20"/>
      <c r="G78" s="1"/>
      <c r="H78" s="1"/>
      <c r="I78" s="106"/>
      <c r="J78" s="106"/>
      <c r="K78" s="106"/>
      <c r="L78" s="105"/>
      <c r="M78" s="105"/>
      <c r="N78" s="105"/>
    </row>
    <row r="79" spans="1:14" x14ac:dyDescent="0.25">
      <c r="A79" s="56" t="s">
        <v>135</v>
      </c>
      <c r="B79" s="21">
        <v>19.5</v>
      </c>
      <c r="C79" s="1"/>
      <c r="D79" s="22">
        <v>4.4000000000000004</v>
      </c>
      <c r="E79" s="22"/>
      <c r="F79" s="20"/>
      <c r="G79" s="1"/>
      <c r="H79" s="1"/>
      <c r="I79" s="106"/>
      <c r="J79" s="106"/>
      <c r="K79" s="106"/>
      <c r="L79" s="105"/>
      <c r="M79" s="105"/>
      <c r="N79" s="105"/>
    </row>
    <row r="80" spans="1:14" x14ac:dyDescent="0.25">
      <c r="A80" s="20"/>
      <c r="B80" s="21"/>
      <c r="C80" s="19">
        <v>4.9000000000000004</v>
      </c>
      <c r="D80" s="22"/>
      <c r="E80" s="55">
        <f>(D79+D81)/2*C80</f>
        <v>22.54</v>
      </c>
      <c r="F80" s="20"/>
      <c r="G80" s="1"/>
      <c r="H80" s="1"/>
      <c r="I80" s="106"/>
      <c r="J80" s="106"/>
      <c r="K80" s="106"/>
      <c r="L80" s="105"/>
      <c r="M80" s="105"/>
      <c r="N80" s="105"/>
    </row>
    <row r="81" spans="1:14" x14ac:dyDescent="0.25">
      <c r="A81" s="56" t="s">
        <v>136</v>
      </c>
      <c r="B81" s="21">
        <v>24.5</v>
      </c>
      <c r="C81" s="1"/>
      <c r="D81" s="22">
        <v>4.8</v>
      </c>
      <c r="E81" s="22"/>
      <c r="F81" s="20"/>
      <c r="G81" s="1"/>
      <c r="H81" s="1"/>
      <c r="I81" s="106"/>
      <c r="J81" s="106"/>
      <c r="K81" s="106"/>
      <c r="L81" s="105"/>
      <c r="M81" s="105"/>
      <c r="N81" s="105"/>
    </row>
    <row r="82" spans="1:14" x14ac:dyDescent="0.25">
      <c r="A82" s="20"/>
      <c r="B82" s="21"/>
      <c r="C82" s="19">
        <f>B83-B81</f>
        <v>4.1000000000000014</v>
      </c>
      <c r="D82" s="22"/>
      <c r="E82" s="55">
        <f>(D81+D83)/2*C82</f>
        <v>21.935000000000006</v>
      </c>
      <c r="F82" s="20"/>
      <c r="G82" s="1"/>
      <c r="H82" s="1"/>
      <c r="I82" s="106"/>
      <c r="J82" s="106"/>
      <c r="K82" s="106"/>
      <c r="L82" s="105"/>
      <c r="M82" s="105"/>
      <c r="N82" s="105"/>
    </row>
    <row r="83" spans="1:14" x14ac:dyDescent="0.25">
      <c r="A83" s="56" t="s">
        <v>137</v>
      </c>
      <c r="B83" s="21">
        <v>28.6</v>
      </c>
      <c r="C83" s="1"/>
      <c r="D83" s="22">
        <v>5.9</v>
      </c>
      <c r="E83" s="22"/>
      <c r="F83" s="20"/>
      <c r="G83" s="1"/>
      <c r="H83" s="1"/>
      <c r="I83" s="106"/>
      <c r="J83" s="106"/>
      <c r="K83" s="106"/>
      <c r="L83" s="105"/>
      <c r="M83" s="105"/>
      <c r="N83" s="105"/>
    </row>
    <row r="84" spans="1:14" x14ac:dyDescent="0.25">
      <c r="A84" s="20"/>
      <c r="B84" s="21"/>
      <c r="C84" s="19">
        <f>B85-B83</f>
        <v>1.75</v>
      </c>
      <c r="D84" s="22"/>
      <c r="E84" s="55">
        <f>(D83+D85)/2*C84</f>
        <v>10.28125</v>
      </c>
      <c r="F84" s="20"/>
      <c r="G84" s="1"/>
      <c r="H84" s="1"/>
      <c r="I84" s="106"/>
      <c r="J84" s="106"/>
      <c r="K84" s="106"/>
      <c r="L84" s="105"/>
      <c r="M84" s="105"/>
      <c r="N84" s="105"/>
    </row>
    <row r="85" spans="1:14" x14ac:dyDescent="0.25">
      <c r="A85" s="56" t="s">
        <v>138</v>
      </c>
      <c r="B85" s="21">
        <v>30.35</v>
      </c>
      <c r="C85" s="1"/>
      <c r="D85" s="22">
        <v>5.85</v>
      </c>
      <c r="E85" s="22"/>
      <c r="F85" s="20"/>
      <c r="G85" s="1"/>
      <c r="H85" s="1"/>
      <c r="I85" s="106"/>
      <c r="J85" s="106"/>
      <c r="K85" s="106"/>
      <c r="L85" s="105"/>
      <c r="M85" s="105"/>
      <c r="N85" s="105"/>
    </row>
    <row r="86" spans="1:14" x14ac:dyDescent="0.25">
      <c r="A86" s="20"/>
      <c r="B86" s="21"/>
      <c r="C86" s="19">
        <f>B87-B85</f>
        <v>1.8500000000000014</v>
      </c>
      <c r="D86" s="22"/>
      <c r="E86" s="55">
        <f>(D85+D87)/2*C86</f>
        <v>14.10625000000001</v>
      </c>
      <c r="F86" s="20"/>
      <c r="G86" s="1"/>
      <c r="H86" s="1"/>
      <c r="I86" s="106"/>
      <c r="J86" s="106"/>
      <c r="K86" s="106"/>
      <c r="L86" s="105"/>
      <c r="M86" s="105"/>
      <c r="N86" s="105"/>
    </row>
    <row r="87" spans="1:14" x14ac:dyDescent="0.25">
      <c r="A87" s="56" t="s">
        <v>139</v>
      </c>
      <c r="B87" s="21">
        <v>32.200000000000003</v>
      </c>
      <c r="C87" s="1"/>
      <c r="D87" s="22">
        <v>9.4</v>
      </c>
      <c r="E87" s="22"/>
      <c r="F87" s="20"/>
      <c r="G87" s="1"/>
      <c r="H87" s="1"/>
      <c r="I87" s="106"/>
      <c r="J87" s="106"/>
      <c r="K87" s="106"/>
      <c r="L87" s="105"/>
      <c r="M87" s="105"/>
      <c r="N87" s="105"/>
    </row>
    <row r="88" spans="1:14" x14ac:dyDescent="0.25">
      <c r="A88" s="1"/>
      <c r="B88" s="21"/>
      <c r="C88" s="19">
        <f>B89-B87</f>
        <v>6.5999999999999943</v>
      </c>
      <c r="D88" s="22"/>
      <c r="E88" s="55">
        <f>(D87+D89)/2*C88</f>
        <v>66.659999999999954</v>
      </c>
      <c r="F88" s="20"/>
      <c r="G88" s="1"/>
      <c r="H88" s="1"/>
      <c r="I88" s="106"/>
      <c r="J88" s="106"/>
      <c r="K88" s="106"/>
      <c r="L88" s="105"/>
      <c r="M88" s="105"/>
      <c r="N88" s="105"/>
    </row>
    <row r="89" spans="1:14" x14ac:dyDescent="0.25">
      <c r="A89" s="56" t="s">
        <v>140</v>
      </c>
      <c r="B89" s="21">
        <v>38.799999999999997</v>
      </c>
      <c r="C89" s="1"/>
      <c r="D89" s="22">
        <v>10.8</v>
      </c>
      <c r="E89" s="22"/>
      <c r="F89" s="20"/>
      <c r="G89" s="1"/>
      <c r="H89" s="1"/>
      <c r="I89" s="106"/>
      <c r="J89" s="106"/>
      <c r="K89" s="106"/>
      <c r="L89" s="105"/>
      <c r="M89" s="105"/>
      <c r="N89" s="105"/>
    </row>
    <row r="90" spans="1:14" x14ac:dyDescent="0.25">
      <c r="A90" s="20"/>
      <c r="B90" s="22"/>
      <c r="C90" s="19">
        <f>B91-B89</f>
        <v>4.7000000000000028</v>
      </c>
      <c r="D90" s="22"/>
      <c r="E90" s="55">
        <f>(D89+D91)/2*C90</f>
        <v>44.885000000000034</v>
      </c>
      <c r="F90" s="20"/>
      <c r="G90" s="1"/>
      <c r="H90" s="1"/>
      <c r="I90" s="105"/>
      <c r="J90" s="105"/>
      <c r="K90" s="105"/>
      <c r="L90" s="105"/>
      <c r="M90" s="105"/>
      <c r="N90" s="105"/>
    </row>
    <row r="91" spans="1:14" x14ac:dyDescent="0.25">
      <c r="A91" s="56" t="s">
        <v>141</v>
      </c>
      <c r="B91" s="21">
        <v>43.5</v>
      </c>
      <c r="C91" s="20"/>
      <c r="D91" s="22">
        <v>8.3000000000000007</v>
      </c>
      <c r="E91" s="22"/>
      <c r="F91" s="20"/>
      <c r="G91" s="1"/>
      <c r="H91" s="1"/>
      <c r="I91" s="105"/>
      <c r="J91" s="105"/>
      <c r="K91" s="105"/>
      <c r="L91" s="105"/>
      <c r="M91" s="105"/>
      <c r="N91" s="105"/>
    </row>
    <row r="92" spans="1:14" x14ac:dyDescent="0.25">
      <c r="A92" s="109"/>
      <c r="B92" s="109"/>
      <c r="C92" s="19">
        <f>B93-B91</f>
        <v>0.5</v>
      </c>
      <c r="D92" s="21"/>
      <c r="E92" s="55">
        <f>(D91+D93)/2*C92</f>
        <v>2.0750000000000002</v>
      </c>
      <c r="F92" s="109"/>
      <c r="G92" s="19"/>
      <c r="H92" s="19"/>
      <c r="I92" s="105"/>
      <c r="J92" s="105"/>
      <c r="K92" s="105"/>
      <c r="L92" s="105"/>
      <c r="M92" s="105"/>
      <c r="N92" s="105"/>
    </row>
    <row r="93" spans="1:14" x14ac:dyDescent="0.25">
      <c r="A93" s="57" t="s">
        <v>142</v>
      </c>
      <c r="B93" s="19">
        <v>44</v>
      </c>
      <c r="C93" s="19"/>
      <c r="D93" s="19">
        <v>0</v>
      </c>
      <c r="E93" s="21"/>
      <c r="F93" s="19"/>
      <c r="G93" s="19"/>
      <c r="H93" s="19"/>
      <c r="I93" s="105"/>
      <c r="J93" s="105"/>
      <c r="K93" s="105"/>
      <c r="L93" s="105"/>
      <c r="M93" s="105"/>
      <c r="N93" s="105"/>
    </row>
    <row r="94" spans="1:14" x14ac:dyDescent="0.25">
      <c r="A94" s="57"/>
      <c r="B94" s="19"/>
      <c r="C94" s="19"/>
      <c r="D94" s="19"/>
      <c r="E94" s="21"/>
      <c r="F94" s="19"/>
      <c r="G94" s="19"/>
      <c r="H94" s="19"/>
      <c r="I94" s="105"/>
      <c r="J94" s="105"/>
      <c r="K94" s="105"/>
      <c r="L94" s="105"/>
      <c r="M94" s="105"/>
      <c r="N94" s="105"/>
    </row>
    <row r="95" spans="1:14" x14ac:dyDescent="0.25">
      <c r="A95" s="112" t="s">
        <v>143</v>
      </c>
      <c r="B95" s="113"/>
      <c r="C95" s="113" t="s">
        <v>145</v>
      </c>
      <c r="D95" s="113"/>
      <c r="E95" s="113">
        <f>1.4 * 4.6</f>
        <v>6.4399999999999995</v>
      </c>
      <c r="F95" s="114" t="s">
        <v>58</v>
      </c>
      <c r="G95" s="19"/>
      <c r="H95" s="19"/>
      <c r="I95" s="105"/>
      <c r="J95" s="105"/>
      <c r="K95" s="105"/>
      <c r="L95" s="105"/>
      <c r="M95" s="105"/>
      <c r="N95" s="105"/>
    </row>
    <row r="96" spans="1:14" x14ac:dyDescent="0.25">
      <c r="A96" s="115" t="s">
        <v>144</v>
      </c>
      <c r="B96" s="61"/>
      <c r="C96" s="61" t="s">
        <v>146</v>
      </c>
      <c r="D96" s="61"/>
      <c r="E96" s="61">
        <f>1.1*4</f>
        <v>4.4000000000000004</v>
      </c>
      <c r="F96" s="116" t="s">
        <v>58</v>
      </c>
      <c r="G96" s="19"/>
      <c r="H96" s="19"/>
      <c r="I96" s="105"/>
      <c r="J96" s="105"/>
      <c r="K96" s="105"/>
      <c r="L96" s="105"/>
      <c r="M96" s="105"/>
      <c r="N96" s="105"/>
    </row>
    <row r="97" spans="1:14" x14ac:dyDescent="0.25">
      <c r="A97" s="110" t="s">
        <v>116</v>
      </c>
      <c r="B97" s="110"/>
      <c r="C97" s="110"/>
      <c r="D97" s="111"/>
      <c r="E97" s="110">
        <f>SUM(E75:E96)</f>
        <v>200.76250000000002</v>
      </c>
      <c r="F97" s="59" t="s">
        <v>58</v>
      </c>
      <c r="G97" s="19"/>
      <c r="H97" s="19"/>
      <c r="I97" s="105"/>
      <c r="J97" s="105"/>
      <c r="K97" s="105"/>
      <c r="L97" s="105"/>
      <c r="M97" s="105"/>
      <c r="N97" s="105"/>
    </row>
    <row r="98" spans="1:14" x14ac:dyDescent="0.25">
      <c r="A98" s="57"/>
      <c r="B98" s="19"/>
      <c r="C98" s="19"/>
      <c r="D98" s="59"/>
      <c r="E98" s="21"/>
      <c r="F98" s="19"/>
      <c r="G98" s="19"/>
      <c r="H98" s="19"/>
    </row>
    <row r="99" spans="1:14" x14ac:dyDescent="0.25">
      <c r="A99" s="50" t="s">
        <v>170</v>
      </c>
      <c r="B99" s="1"/>
      <c r="C99" s="1"/>
      <c r="D99" s="1"/>
      <c r="E99" s="1"/>
      <c r="F99" s="1"/>
      <c r="G99" s="1"/>
      <c r="H99" s="1"/>
    </row>
    <row r="100" spans="1:14" x14ac:dyDescent="0.25">
      <c r="A100" s="50" t="s">
        <v>167</v>
      </c>
      <c r="B100" s="1"/>
      <c r="C100" s="1"/>
      <c r="D100" s="1"/>
      <c r="E100" s="1"/>
      <c r="F100" s="1"/>
      <c r="G100" s="1"/>
      <c r="H100" s="1"/>
    </row>
    <row r="101" spans="1:14" x14ac:dyDescent="0.25">
      <c r="A101" s="1"/>
      <c r="B101" s="1"/>
      <c r="C101" s="1"/>
      <c r="D101" s="1"/>
      <c r="E101" s="1"/>
      <c r="F101" s="1"/>
      <c r="G101" s="1"/>
      <c r="H101" s="1"/>
    </row>
    <row r="102" spans="1:14" x14ac:dyDescent="0.25">
      <c r="A102" s="51" t="s">
        <v>52</v>
      </c>
      <c r="B102" s="52" t="s">
        <v>53</v>
      </c>
      <c r="C102" s="50" t="s">
        <v>54</v>
      </c>
      <c r="D102" s="53" t="s">
        <v>122</v>
      </c>
      <c r="E102" s="53" t="s">
        <v>126</v>
      </c>
      <c r="F102" s="1"/>
      <c r="G102" s="1"/>
      <c r="H102" s="1"/>
    </row>
    <row r="103" spans="1:14" x14ac:dyDescent="0.25">
      <c r="A103" s="122"/>
      <c r="B103" s="54" t="s">
        <v>7</v>
      </c>
      <c r="C103" s="53" t="s">
        <v>7</v>
      </c>
      <c r="D103" s="53" t="s">
        <v>7</v>
      </c>
      <c r="E103" s="59" t="s">
        <v>57</v>
      </c>
      <c r="F103" s="1"/>
      <c r="G103" s="1"/>
      <c r="H103" s="1"/>
    </row>
    <row r="104" spans="1:14" x14ac:dyDescent="0.25">
      <c r="A104" s="51" t="s">
        <v>115</v>
      </c>
      <c r="B104" s="55">
        <v>0</v>
      </c>
      <c r="C104" s="1"/>
      <c r="D104" s="55">
        <v>0</v>
      </c>
      <c r="E104" s="55"/>
      <c r="F104" s="1"/>
      <c r="G104" s="1"/>
      <c r="H104" s="1"/>
    </row>
    <row r="105" spans="1:14" x14ac:dyDescent="0.25">
      <c r="A105" s="1"/>
      <c r="B105" s="55"/>
      <c r="C105" s="19">
        <f>B106-B104</f>
        <v>9.5</v>
      </c>
      <c r="D105" s="55"/>
      <c r="E105" s="55">
        <f>(D104+D106)/2*C105</f>
        <v>9.9749999999999996</v>
      </c>
      <c r="F105" s="1"/>
      <c r="G105" s="1"/>
      <c r="H105" s="1"/>
    </row>
    <row r="106" spans="1:14" x14ac:dyDescent="0.25">
      <c r="A106" s="56" t="s">
        <v>134</v>
      </c>
      <c r="B106" s="55">
        <v>9.5</v>
      </c>
      <c r="C106" s="1"/>
      <c r="D106" s="55">
        <v>2.1</v>
      </c>
      <c r="E106" s="55"/>
      <c r="F106" s="1"/>
      <c r="G106" s="1"/>
      <c r="H106" s="1"/>
    </row>
    <row r="107" spans="1:14" x14ac:dyDescent="0.25">
      <c r="A107" s="20"/>
      <c r="B107" s="21"/>
      <c r="C107" s="19">
        <f>B108-B106</f>
        <v>10</v>
      </c>
      <c r="D107" s="22"/>
      <c r="E107" s="55">
        <f>(D106+D108)/2*C107</f>
        <v>32</v>
      </c>
      <c r="F107" s="1"/>
      <c r="G107" s="1"/>
      <c r="H107" s="1"/>
    </row>
    <row r="108" spans="1:14" x14ac:dyDescent="0.25">
      <c r="A108" s="56" t="s">
        <v>135</v>
      </c>
      <c r="B108" s="21">
        <v>19.5</v>
      </c>
      <c r="C108" s="1"/>
      <c r="D108" s="22">
        <v>4.3</v>
      </c>
      <c r="E108" s="22"/>
      <c r="F108" s="1"/>
      <c r="G108" s="1"/>
      <c r="H108" s="1"/>
    </row>
    <row r="109" spans="1:14" x14ac:dyDescent="0.25">
      <c r="A109" s="20"/>
      <c r="B109" s="21"/>
      <c r="C109" s="19">
        <f>B110-B108</f>
        <v>5</v>
      </c>
      <c r="D109" s="22"/>
      <c r="E109" s="55">
        <f>(D108+D110)/2*C109</f>
        <v>23.499999999999996</v>
      </c>
      <c r="F109" s="1"/>
      <c r="G109" s="1"/>
      <c r="H109" s="1"/>
    </row>
    <row r="110" spans="1:14" x14ac:dyDescent="0.25">
      <c r="A110" s="56" t="s">
        <v>136</v>
      </c>
      <c r="B110" s="21">
        <v>24.5</v>
      </c>
      <c r="C110" s="1"/>
      <c r="D110" s="22">
        <v>5.0999999999999996</v>
      </c>
      <c r="E110" s="22"/>
      <c r="F110" s="1"/>
      <c r="G110" s="1"/>
      <c r="H110" s="1"/>
    </row>
    <row r="111" spans="1:14" x14ac:dyDescent="0.25">
      <c r="A111" s="20"/>
      <c r="B111" s="21"/>
      <c r="C111" s="19">
        <f>B112-B110</f>
        <v>4.1000000000000014</v>
      </c>
      <c r="D111" s="22"/>
      <c r="E111" s="55">
        <f>(D110+D112)/2*C111</f>
        <v>23.370000000000005</v>
      </c>
      <c r="F111" s="1"/>
      <c r="G111" s="1"/>
      <c r="H111" s="1"/>
    </row>
    <row r="112" spans="1:14" x14ac:dyDescent="0.25">
      <c r="A112" s="56" t="s">
        <v>137</v>
      </c>
      <c r="B112" s="55">
        <v>28.6</v>
      </c>
      <c r="C112" s="50"/>
      <c r="D112" s="123">
        <v>6.3</v>
      </c>
      <c r="E112" s="123"/>
      <c r="F112" s="50"/>
      <c r="G112" s="1"/>
      <c r="H112" s="1"/>
    </row>
    <row r="113" spans="1:8" x14ac:dyDescent="0.25">
      <c r="A113" s="52"/>
      <c r="B113" s="55"/>
      <c r="C113" s="57">
        <f>B114-B112</f>
        <v>1.75</v>
      </c>
      <c r="D113" s="123"/>
      <c r="E113" s="55">
        <f>(D112+D114)/2*C113</f>
        <v>10.9375</v>
      </c>
      <c r="F113" s="50"/>
      <c r="G113" s="1"/>
      <c r="H113" s="1"/>
    </row>
    <row r="114" spans="1:8" x14ac:dyDescent="0.25">
      <c r="A114" s="56" t="s">
        <v>138</v>
      </c>
      <c r="B114" s="55">
        <v>30.35</v>
      </c>
      <c r="C114" s="50"/>
      <c r="D114" s="123">
        <v>6.2</v>
      </c>
      <c r="E114" s="123"/>
      <c r="F114" s="50"/>
      <c r="G114" s="1"/>
      <c r="H114" s="1"/>
    </row>
    <row r="115" spans="1:8" x14ac:dyDescent="0.25">
      <c r="A115" s="52"/>
      <c r="B115" s="55"/>
      <c r="C115" s="57">
        <f>B116-B114</f>
        <v>1.8500000000000014</v>
      </c>
      <c r="D115" s="123"/>
      <c r="E115" s="55">
        <f>(D114+D116)/2*C115</f>
        <v>12.39500000000001</v>
      </c>
      <c r="F115" s="50"/>
      <c r="G115" s="1"/>
      <c r="H115" s="1"/>
    </row>
    <row r="116" spans="1:8" x14ac:dyDescent="0.25">
      <c r="A116" s="56" t="s">
        <v>139</v>
      </c>
      <c r="B116" s="55">
        <v>32.200000000000003</v>
      </c>
      <c r="C116" s="50"/>
      <c r="D116" s="123">
        <v>7.2</v>
      </c>
      <c r="E116" s="123"/>
      <c r="F116" s="50"/>
      <c r="G116" s="1"/>
      <c r="H116" s="1"/>
    </row>
    <row r="117" spans="1:8" x14ac:dyDescent="0.25">
      <c r="A117" s="50"/>
      <c r="B117" s="55"/>
      <c r="C117" s="57">
        <f>B118-B116</f>
        <v>6.5999999999999943</v>
      </c>
      <c r="D117" s="123"/>
      <c r="E117" s="55">
        <f>(D116+D118)/2*C117</f>
        <v>47.849999999999959</v>
      </c>
      <c r="F117" s="50"/>
      <c r="G117" s="1"/>
      <c r="H117" s="1"/>
    </row>
    <row r="118" spans="1:8" x14ac:dyDescent="0.25">
      <c r="A118" s="56" t="s">
        <v>140</v>
      </c>
      <c r="B118" s="55">
        <v>38.799999999999997</v>
      </c>
      <c r="C118" s="50"/>
      <c r="D118" s="123">
        <v>7.3</v>
      </c>
      <c r="E118" s="123"/>
      <c r="F118" s="50"/>
      <c r="G118" s="1"/>
      <c r="H118" s="1"/>
    </row>
    <row r="119" spans="1:8" x14ac:dyDescent="0.25">
      <c r="A119" s="52"/>
      <c r="B119" s="123"/>
      <c r="C119" s="57">
        <f>B120-B118</f>
        <v>4.7000000000000028</v>
      </c>
      <c r="D119" s="123"/>
      <c r="E119" s="55">
        <f>(D118+D120)/2*C119</f>
        <v>31.725000000000019</v>
      </c>
      <c r="F119" s="50"/>
      <c r="G119" s="1"/>
      <c r="H119" s="1"/>
    </row>
    <row r="120" spans="1:8" x14ac:dyDescent="0.25">
      <c r="A120" s="56" t="s">
        <v>141</v>
      </c>
      <c r="B120" s="55">
        <v>43.5</v>
      </c>
      <c r="C120" s="52"/>
      <c r="D120" s="123">
        <v>6.2</v>
      </c>
      <c r="E120" s="123"/>
      <c r="F120" s="50"/>
      <c r="G120" s="1"/>
      <c r="H120" s="1"/>
    </row>
    <row r="121" spans="1:8" x14ac:dyDescent="0.25">
      <c r="A121" s="56"/>
      <c r="B121" s="56"/>
      <c r="C121" s="55">
        <v>5.2</v>
      </c>
      <c r="D121" s="55"/>
      <c r="E121" s="55">
        <f>(D120+D122)/2*C121</f>
        <v>16.12</v>
      </c>
      <c r="F121" s="50"/>
      <c r="G121" s="1"/>
      <c r="H121" s="1"/>
    </row>
    <row r="122" spans="1:8" x14ac:dyDescent="0.25">
      <c r="A122" s="115" t="s">
        <v>142</v>
      </c>
      <c r="B122" s="115">
        <f>B120+C121</f>
        <v>48.7</v>
      </c>
      <c r="C122" s="115"/>
      <c r="D122" s="115">
        <v>0</v>
      </c>
      <c r="E122" s="124"/>
      <c r="F122" s="60"/>
      <c r="G122" s="23"/>
      <c r="H122" s="1"/>
    </row>
    <row r="123" spans="1:8" x14ac:dyDescent="0.25">
      <c r="A123" s="184" t="s">
        <v>168</v>
      </c>
      <c r="B123" s="7"/>
      <c r="C123" s="7"/>
      <c r="D123" s="7"/>
      <c r="E123" s="185">
        <f>SUM(E105:E121)</f>
        <v>207.8725</v>
      </c>
      <c r="F123" s="59" t="s">
        <v>57</v>
      </c>
      <c r="G123" s="29"/>
    </row>
    <row r="124" spans="1:8" x14ac:dyDescent="0.25">
      <c r="A124" s="183"/>
      <c r="B124" s="183"/>
      <c r="C124" s="183"/>
      <c r="D124" s="183"/>
      <c r="E124" s="23"/>
      <c r="F124" s="23"/>
      <c r="G124" s="29"/>
    </row>
    <row r="125" spans="1:8" x14ac:dyDescent="0.25">
      <c r="A125" s="29"/>
      <c r="B125" s="29"/>
      <c r="C125" s="29"/>
      <c r="D125" s="29"/>
      <c r="E125" s="29"/>
      <c r="F125" s="29"/>
      <c r="G125" s="29"/>
    </row>
  </sheetData>
  <pageMargins left="0.70866141732283472" right="0.70866141732283472" top="0.78740157480314965" bottom="0.78740157480314965" header="0.31496062992125984" footer="0.31496062992125984"/>
  <pageSetup paperSize="9" orientation="portrait" horizontalDpi="300" r:id="rId1"/>
  <headerFooter>
    <oddHeader>&amp;RDočasné a trvalé sjezdy</oddHeader>
    <oddFooter>&amp;L&amp;F&amp;C&amp;P z &amp;N&amp;R&amp;A</oddFooter>
  </headerFooter>
  <rowBreaks count="2" manualBreakCount="2">
    <brk id="45" max="16383" man="1"/>
    <brk id="9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6CC43-153D-48A2-B333-C3539FFBC5EA}">
  <dimension ref="A1:N104"/>
  <sheetViews>
    <sheetView topLeftCell="A67" zoomScaleNormal="100" workbookViewId="0">
      <selection activeCell="M101" sqref="M101"/>
    </sheetView>
  </sheetViews>
  <sheetFormatPr defaultRowHeight="15" x14ac:dyDescent="0.25"/>
  <cols>
    <col min="6" max="6" width="11.42578125" customWidth="1"/>
  </cols>
  <sheetData>
    <row r="1" spans="1:11" s="1" customFormat="1" ht="15.75" x14ac:dyDescent="0.25">
      <c r="A1" s="2" t="s">
        <v>37</v>
      </c>
      <c r="B1" s="4"/>
    </row>
    <row r="2" spans="1:11" s="1" customFormat="1" ht="15.75" x14ac:dyDescent="0.25">
      <c r="A2" s="2" t="s">
        <v>38</v>
      </c>
      <c r="B2" s="4"/>
    </row>
    <row r="3" spans="1:11" s="1" customFormat="1" ht="15.75" x14ac:dyDescent="0.25">
      <c r="A3" s="2"/>
      <c r="B3" s="4"/>
    </row>
    <row r="4" spans="1:11" s="1" customFormat="1" ht="15.75" x14ac:dyDescent="0.25">
      <c r="A4" s="9" t="s">
        <v>1</v>
      </c>
      <c r="B4" s="4"/>
    </row>
    <row r="5" spans="1:11" s="1" customFormat="1" ht="15.75" x14ac:dyDescent="0.25">
      <c r="A5" s="9" t="s">
        <v>2</v>
      </c>
      <c r="B5" s="4"/>
    </row>
    <row r="6" spans="1:11" s="1" customFormat="1" x14ac:dyDescent="0.25">
      <c r="A6" s="10" t="s">
        <v>39</v>
      </c>
    </row>
    <row r="7" spans="1:11" s="1" customFormat="1" x14ac:dyDescent="0.25"/>
    <row r="8" spans="1:11" s="1" customFormat="1" ht="15.75" x14ac:dyDescent="0.25">
      <c r="A8" s="8" t="s">
        <v>40</v>
      </c>
      <c r="B8" s="7"/>
    </row>
    <row r="9" spans="1:11" s="1" customFormat="1" x14ac:dyDescent="0.25">
      <c r="B9" s="7"/>
    </row>
    <row r="10" spans="1:11" s="1" customFormat="1" ht="18" x14ac:dyDescent="0.25">
      <c r="A10" s="6" t="s">
        <v>358</v>
      </c>
      <c r="B10" s="7"/>
    </row>
    <row r="11" spans="1:11" s="1" customFormat="1" x14ac:dyDescent="0.25"/>
    <row r="12" spans="1:11" x14ac:dyDescent="0.25">
      <c r="A12" s="13" t="s">
        <v>67</v>
      </c>
      <c r="B12" s="21"/>
      <c r="C12" s="1"/>
      <c r="D12" s="22"/>
      <c r="E12" s="22"/>
      <c r="F12" s="1"/>
    </row>
    <row r="13" spans="1:11" x14ac:dyDescent="0.25">
      <c r="A13" s="1"/>
      <c r="B13" s="21"/>
      <c r="C13" s="19"/>
      <c r="D13" s="22"/>
      <c r="E13" s="18"/>
      <c r="F13" s="1"/>
    </row>
    <row r="14" spans="1:11" x14ac:dyDescent="0.25">
      <c r="A14" s="129" t="s">
        <v>68</v>
      </c>
      <c r="B14" s="26"/>
      <c r="C14" s="27"/>
      <c r="D14" s="28"/>
      <c r="E14" s="22"/>
      <c r="F14" s="1"/>
    </row>
    <row r="15" spans="1:11" x14ac:dyDescent="0.25">
      <c r="A15" s="25" t="s">
        <v>201</v>
      </c>
      <c r="C15" s="24"/>
      <c r="D15" s="28"/>
      <c r="E15" s="18"/>
      <c r="F15" s="1"/>
    </row>
    <row r="16" spans="1:11" x14ac:dyDescent="0.25">
      <c r="A16" s="14"/>
      <c r="B16" s="1"/>
      <c r="C16" s="1"/>
      <c r="D16" s="1" t="s">
        <v>199</v>
      </c>
      <c r="E16" s="1"/>
      <c r="F16" s="1" t="s">
        <v>59</v>
      </c>
      <c r="G16" s="1"/>
      <c r="H16" s="1" t="s">
        <v>60</v>
      </c>
      <c r="I16" s="1"/>
      <c r="J16" s="1" t="s">
        <v>66</v>
      </c>
      <c r="K16" s="1"/>
    </row>
    <row r="17" spans="1:11" x14ac:dyDescent="0.25">
      <c r="A17" s="15" t="s">
        <v>52</v>
      </c>
      <c r="B17" s="16" t="s">
        <v>53</v>
      </c>
      <c r="C17" s="14" t="s">
        <v>54</v>
      </c>
      <c r="D17" s="17" t="s">
        <v>55</v>
      </c>
      <c r="E17" s="17" t="s">
        <v>56</v>
      </c>
      <c r="F17" s="17" t="s">
        <v>55</v>
      </c>
      <c r="G17" s="17" t="s">
        <v>56</v>
      </c>
      <c r="H17" s="17" t="s">
        <v>55</v>
      </c>
      <c r="I17" s="17" t="s">
        <v>56</v>
      </c>
      <c r="J17" s="17" t="s">
        <v>55</v>
      </c>
      <c r="K17" s="17" t="s">
        <v>56</v>
      </c>
    </row>
    <row r="18" spans="1:11" ht="15.75" thickBot="1" x14ac:dyDescent="0.3">
      <c r="A18" s="202"/>
      <c r="B18" s="202" t="s">
        <v>7</v>
      </c>
      <c r="C18" s="202" t="s">
        <v>7</v>
      </c>
      <c r="D18" s="202" t="s">
        <v>57</v>
      </c>
      <c r="E18" s="202" t="s">
        <v>58</v>
      </c>
      <c r="F18" s="202" t="s">
        <v>57</v>
      </c>
      <c r="G18" s="202" t="s">
        <v>58</v>
      </c>
      <c r="H18" s="202" t="s">
        <v>57</v>
      </c>
      <c r="I18" s="202" t="s">
        <v>58</v>
      </c>
      <c r="J18" s="202" t="s">
        <v>57</v>
      </c>
      <c r="K18" s="202" t="s">
        <v>58</v>
      </c>
    </row>
    <row r="19" spans="1:11" x14ac:dyDescent="0.25">
      <c r="A19" s="65" t="s">
        <v>64</v>
      </c>
      <c r="B19" s="69">
        <v>0</v>
      </c>
      <c r="C19" s="49"/>
      <c r="D19" s="69">
        <f>0.45+0.45</f>
        <v>0.9</v>
      </c>
      <c r="E19" s="69"/>
      <c r="F19" s="49">
        <v>3.2</v>
      </c>
      <c r="G19" s="49"/>
      <c r="H19" s="49">
        <f>1.7+1.7</f>
        <v>3.4</v>
      </c>
      <c r="I19" s="49"/>
      <c r="J19" s="49">
        <v>2.1</v>
      </c>
      <c r="K19" s="49"/>
    </row>
    <row r="20" spans="1:11" x14ac:dyDescent="0.25">
      <c r="A20" s="169"/>
      <c r="B20" s="55"/>
      <c r="C20" s="170">
        <f>B21-B19</f>
        <v>7.4</v>
      </c>
      <c r="D20" s="55"/>
      <c r="E20" s="55">
        <f>(D19+D21)/2*C20</f>
        <v>6.66</v>
      </c>
      <c r="F20" s="169"/>
      <c r="G20" s="55">
        <f>(F19+F21)/2*C20</f>
        <v>23.680000000000003</v>
      </c>
      <c r="H20" s="169"/>
      <c r="I20" s="55">
        <f>(H19+H21)/2*C20</f>
        <v>25.16</v>
      </c>
      <c r="J20" s="169"/>
      <c r="K20" s="55">
        <f>(J19+J21)/2*C20</f>
        <v>15.540000000000001</v>
      </c>
    </row>
    <row r="21" spans="1:11" x14ac:dyDescent="0.25">
      <c r="A21" s="56" t="s">
        <v>61</v>
      </c>
      <c r="B21" s="55">
        <v>7.4</v>
      </c>
      <c r="C21" s="169"/>
      <c r="D21" s="55">
        <f>0.45+0.45</f>
        <v>0.9</v>
      </c>
      <c r="E21" s="55"/>
      <c r="F21" s="169">
        <v>3.2</v>
      </c>
      <c r="G21" s="169"/>
      <c r="H21" s="169">
        <v>3.4</v>
      </c>
      <c r="I21" s="169"/>
      <c r="J21" s="169">
        <v>2.1</v>
      </c>
      <c r="K21" s="169"/>
    </row>
    <row r="22" spans="1:11" x14ac:dyDescent="0.25">
      <c r="A22" s="171"/>
      <c r="B22" s="172"/>
      <c r="C22" s="170">
        <f>B23-B21</f>
        <v>5</v>
      </c>
      <c r="D22" s="173"/>
      <c r="E22" s="55">
        <f>(D21+D23)/2*C22</f>
        <v>4.5</v>
      </c>
      <c r="F22" s="169"/>
      <c r="G22" s="55">
        <f>(F21+F23)/2*C22</f>
        <v>16</v>
      </c>
      <c r="H22" s="169"/>
      <c r="I22" s="55">
        <f>(H21+H23)/2*C22</f>
        <v>17</v>
      </c>
      <c r="J22" s="169"/>
      <c r="K22" s="55">
        <f>(J21+J23)/2*C22</f>
        <v>10.5</v>
      </c>
    </row>
    <row r="23" spans="1:11" x14ac:dyDescent="0.25">
      <c r="A23" s="56" t="s">
        <v>62</v>
      </c>
      <c r="B23" s="172">
        <v>12.4</v>
      </c>
      <c r="C23" s="169"/>
      <c r="D23" s="55">
        <f>0.45+0.45</f>
        <v>0.9</v>
      </c>
      <c r="E23" s="173"/>
      <c r="F23" s="169">
        <v>3.2</v>
      </c>
      <c r="G23" s="169"/>
      <c r="H23" s="169">
        <v>3.4</v>
      </c>
      <c r="I23" s="169"/>
      <c r="J23" s="169">
        <v>2.1</v>
      </c>
      <c r="K23" s="169"/>
    </row>
    <row r="24" spans="1:11" x14ac:dyDescent="0.25">
      <c r="A24" s="171"/>
      <c r="B24" s="172"/>
      <c r="C24" s="170">
        <f>B25-B23</f>
        <v>5.2499999999999982</v>
      </c>
      <c r="D24" s="173"/>
      <c r="E24" s="55">
        <f>(D23+D25)/2*C24</f>
        <v>4.7249999999999988</v>
      </c>
      <c r="F24" s="169"/>
      <c r="G24" s="55">
        <f>(F23+F25)/2*C24</f>
        <v>13.649999999999995</v>
      </c>
      <c r="H24" s="169"/>
      <c r="I24" s="55">
        <f>(H23+H25)/2*C24</f>
        <v>17.849999999999994</v>
      </c>
      <c r="J24" s="169"/>
      <c r="K24" s="55">
        <f>(J23+J25)/2*C24</f>
        <v>10.237499999999997</v>
      </c>
    </row>
    <row r="25" spans="1:11" ht="15.75" thickBot="1" x14ac:dyDescent="0.3">
      <c r="A25" s="174" t="s">
        <v>63</v>
      </c>
      <c r="B25" s="175">
        <v>17.649999999999999</v>
      </c>
      <c r="C25" s="176"/>
      <c r="D25" s="177">
        <f>0.45+0.45</f>
        <v>0.9</v>
      </c>
      <c r="E25" s="178"/>
      <c r="F25" s="176">
        <f>1+1</f>
        <v>2</v>
      </c>
      <c r="G25" s="176"/>
      <c r="H25" s="176">
        <v>3.4</v>
      </c>
      <c r="I25" s="176"/>
      <c r="J25" s="176">
        <v>1.8</v>
      </c>
      <c r="K25" s="176"/>
    </row>
    <row r="26" spans="1:11" x14ac:dyDescent="0.25">
      <c r="A26" s="171"/>
      <c r="B26" s="172"/>
      <c r="C26" s="170"/>
      <c r="D26" s="173"/>
      <c r="E26" s="55">
        <f>SUM(E19:E25)</f>
        <v>15.884999999999998</v>
      </c>
      <c r="F26" s="169"/>
      <c r="G26" s="55">
        <f>SUM(G19:G25)</f>
        <v>53.33</v>
      </c>
      <c r="H26" s="169"/>
      <c r="I26" s="55">
        <f>SUM(I19:I25)</f>
        <v>60.009999999999991</v>
      </c>
      <c r="J26" s="169"/>
      <c r="K26" s="55">
        <f>SUM(K19:K25)</f>
        <v>36.277499999999996</v>
      </c>
    </row>
    <row r="27" spans="1:11" x14ac:dyDescent="0.25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x14ac:dyDescent="0.25">
      <c r="G28" t="s">
        <v>200</v>
      </c>
      <c r="H28" s="19">
        <f>SUM(E26:K26)</f>
        <v>165.5025</v>
      </c>
      <c r="I28" t="s">
        <v>147</v>
      </c>
    </row>
    <row r="30" spans="1:11" x14ac:dyDescent="0.25">
      <c r="A30" s="129" t="s">
        <v>213</v>
      </c>
      <c r="B30" s="129"/>
      <c r="C30" s="129"/>
      <c r="D30" s="128"/>
      <c r="E30" s="1"/>
      <c r="F30" s="1"/>
      <c r="G30" s="1"/>
      <c r="H30" s="1"/>
    </row>
    <row r="31" spans="1:11" x14ac:dyDescent="0.25">
      <c r="A31" s="128" t="s">
        <v>214</v>
      </c>
      <c r="B31" s="128"/>
      <c r="C31" s="128"/>
      <c r="D31" s="128"/>
      <c r="E31" s="1"/>
      <c r="F31" s="1"/>
      <c r="G31" s="1"/>
      <c r="H31" s="1"/>
    </row>
    <row r="32" spans="1:11" x14ac:dyDescent="0.25">
      <c r="A32" s="130"/>
      <c r="B32" s="117"/>
      <c r="C32" s="117"/>
      <c r="D32" s="117"/>
      <c r="E32" s="117"/>
      <c r="F32" s="117"/>
      <c r="G32" s="131"/>
      <c r="H32" s="117"/>
    </row>
    <row r="33" spans="1:8" x14ac:dyDescent="0.25">
      <c r="A33" s="50" t="s">
        <v>215</v>
      </c>
      <c r="B33" s="1"/>
      <c r="C33" s="1"/>
      <c r="D33" s="1"/>
      <c r="E33" s="1"/>
      <c r="F33" s="1"/>
      <c r="G33" s="1"/>
      <c r="H33" s="58"/>
    </row>
    <row r="34" spans="1:8" x14ac:dyDescent="0.25">
      <c r="A34" s="50" t="s">
        <v>216</v>
      </c>
      <c r="B34" s="1"/>
      <c r="C34" s="1"/>
      <c r="D34" s="1"/>
      <c r="E34" s="1"/>
      <c r="F34" s="1"/>
      <c r="G34" s="1"/>
      <c r="H34" s="58"/>
    </row>
    <row r="35" spans="1:8" x14ac:dyDescent="0.25">
      <c r="A35" s="50" t="s">
        <v>217</v>
      </c>
      <c r="B35" s="1"/>
      <c r="C35" s="1">
        <v>3.5</v>
      </c>
      <c r="D35" s="50" t="s">
        <v>7</v>
      </c>
      <c r="E35" s="1"/>
      <c r="F35" s="1"/>
      <c r="G35" s="1"/>
      <c r="H35" s="58"/>
    </row>
    <row r="36" spans="1:8" x14ac:dyDescent="0.25">
      <c r="A36" s="50" t="s">
        <v>218</v>
      </c>
      <c r="B36" s="1"/>
      <c r="C36" s="1">
        <v>5.6</v>
      </c>
      <c r="D36" s="1"/>
      <c r="E36" s="1"/>
      <c r="F36" s="1"/>
      <c r="G36" s="1"/>
      <c r="H36" s="58"/>
    </row>
    <row r="37" spans="1:8" x14ac:dyDescent="0.25">
      <c r="A37" s="60" t="s">
        <v>219</v>
      </c>
      <c r="B37" s="62"/>
      <c r="C37" s="62">
        <v>0.1</v>
      </c>
      <c r="D37" s="60" t="s">
        <v>7</v>
      </c>
      <c r="E37" s="62"/>
      <c r="F37" s="62"/>
      <c r="G37" s="62"/>
      <c r="H37" s="58"/>
    </row>
    <row r="38" spans="1:8" x14ac:dyDescent="0.25">
      <c r="A38" s="50" t="s">
        <v>56</v>
      </c>
      <c r="B38" s="1"/>
      <c r="C38" s="1"/>
      <c r="D38" s="1"/>
      <c r="E38" s="1"/>
      <c r="F38" s="1"/>
      <c r="G38" s="34">
        <f>C35*C36*C37</f>
        <v>1.96</v>
      </c>
      <c r="H38" s="58" t="s">
        <v>58</v>
      </c>
    </row>
    <row r="39" spans="1:8" x14ac:dyDescent="0.25">
      <c r="A39" s="50"/>
      <c r="B39" s="1"/>
      <c r="C39" s="1"/>
      <c r="D39" s="1"/>
      <c r="E39" s="1"/>
      <c r="F39" s="1"/>
      <c r="G39" s="34"/>
      <c r="H39" s="58"/>
    </row>
    <row r="40" spans="1:8" x14ac:dyDescent="0.25">
      <c r="A40" s="50" t="s">
        <v>220</v>
      </c>
      <c r="B40" s="1"/>
      <c r="C40" s="1"/>
      <c r="D40" s="1"/>
      <c r="E40" s="1"/>
      <c r="F40" s="1"/>
      <c r="G40" s="34"/>
      <c r="H40" s="58"/>
    </row>
    <row r="41" spans="1:8" x14ac:dyDescent="0.25">
      <c r="A41" s="50" t="s">
        <v>217</v>
      </c>
      <c r="B41" s="1"/>
      <c r="C41" s="1">
        <v>3.5</v>
      </c>
      <c r="D41" s="50" t="s">
        <v>7</v>
      </c>
      <c r="E41" s="1"/>
      <c r="F41" s="1"/>
      <c r="G41" s="34"/>
      <c r="H41" s="58"/>
    </row>
    <row r="42" spans="1:8" x14ac:dyDescent="0.25">
      <c r="A42" s="50" t="s">
        <v>218</v>
      </c>
      <c r="B42" s="1"/>
      <c r="C42" s="19">
        <v>5.6</v>
      </c>
      <c r="D42" s="50" t="s">
        <v>7</v>
      </c>
      <c r="E42" s="1"/>
      <c r="F42" s="1"/>
      <c r="G42" s="34"/>
      <c r="H42" s="58"/>
    </row>
    <row r="43" spans="1:8" x14ac:dyDescent="0.25">
      <c r="A43" s="60" t="s">
        <v>219</v>
      </c>
      <c r="B43" s="62"/>
      <c r="C43" s="62">
        <v>0.1</v>
      </c>
      <c r="D43" s="60" t="s">
        <v>7</v>
      </c>
      <c r="E43" s="62"/>
      <c r="F43" s="62"/>
      <c r="G43" s="132"/>
      <c r="H43" s="58"/>
    </row>
    <row r="44" spans="1:8" x14ac:dyDescent="0.25">
      <c r="A44" s="50" t="s">
        <v>56</v>
      </c>
      <c r="B44" s="1"/>
      <c r="C44" s="1"/>
      <c r="D44" s="1"/>
      <c r="E44" s="1"/>
      <c r="F44" s="1"/>
      <c r="G44" s="34">
        <f>C41*C42*C43</f>
        <v>1.96</v>
      </c>
      <c r="H44" s="58" t="s">
        <v>58</v>
      </c>
    </row>
    <row r="45" spans="1:8" ht="15.75" thickBot="1" x14ac:dyDescent="0.3">
      <c r="A45" s="125"/>
      <c r="B45" s="126"/>
      <c r="C45" s="126"/>
      <c r="D45" s="126"/>
      <c r="E45" s="126"/>
      <c r="F45" s="126"/>
      <c r="G45" s="133"/>
      <c r="H45" s="134"/>
    </row>
    <row r="46" spans="1:8" ht="15.75" thickTop="1" x14ac:dyDescent="0.25">
      <c r="A46" s="129" t="s">
        <v>221</v>
      </c>
      <c r="B46" s="1"/>
      <c r="C46" s="1"/>
      <c r="D46" s="1"/>
      <c r="E46" s="1"/>
      <c r="F46" s="1"/>
      <c r="G46" s="34">
        <f>SUM(G38:G45)</f>
        <v>3.92</v>
      </c>
      <c r="H46" s="58" t="s">
        <v>58</v>
      </c>
    </row>
    <row r="47" spans="1:8" s="1" customFormat="1" x14ac:dyDescent="0.25">
      <c r="A47" s="129"/>
      <c r="G47" s="34"/>
      <c r="H47" s="58"/>
    </row>
    <row r="48" spans="1:8" s="1" customFormat="1" x14ac:dyDescent="0.25">
      <c r="A48" s="159" t="s">
        <v>126</v>
      </c>
      <c r="B48" s="160"/>
      <c r="C48" s="179" t="s">
        <v>254</v>
      </c>
      <c r="G48" s="34"/>
      <c r="H48" s="58"/>
    </row>
    <row r="49" spans="1:14" s="1" customFormat="1" x14ac:dyDescent="0.25">
      <c r="A49" s="161" t="s">
        <v>334</v>
      </c>
      <c r="B49" s="162"/>
      <c r="C49" s="23">
        <f>C35*C36</f>
        <v>19.599999999999998</v>
      </c>
      <c r="D49" s="23"/>
      <c r="E49" s="23"/>
      <c r="F49" s="23"/>
      <c r="G49" s="163"/>
      <c r="H49" s="164"/>
    </row>
    <row r="50" spans="1:14" s="1" customFormat="1" x14ac:dyDescent="0.25">
      <c r="A50" s="165" t="s">
        <v>335</v>
      </c>
      <c r="B50" s="166"/>
      <c r="C50" s="62">
        <f>C42*C35</f>
        <v>19.599999999999998</v>
      </c>
      <c r="D50" s="62"/>
      <c r="E50" s="62"/>
      <c r="F50" s="62"/>
      <c r="G50" s="132"/>
      <c r="H50" s="167"/>
    </row>
    <row r="51" spans="1:14" s="1" customFormat="1" x14ac:dyDescent="0.25">
      <c r="A51" s="159" t="s">
        <v>336</v>
      </c>
      <c r="B51" s="160"/>
      <c r="C51" s="1">
        <f>SUM(C49:C50)</f>
        <v>39.199999999999996</v>
      </c>
      <c r="D51" s="1" t="s">
        <v>254</v>
      </c>
      <c r="E51" s="1" t="s">
        <v>337</v>
      </c>
      <c r="G51" s="34"/>
      <c r="H51" s="168">
        <f>2*40</f>
        <v>80</v>
      </c>
      <c r="I51" s="1" t="s">
        <v>254</v>
      </c>
    </row>
    <row r="52" spans="1:14" s="1" customFormat="1" x14ac:dyDescent="0.25">
      <c r="A52" s="159"/>
      <c r="B52" s="160"/>
      <c r="G52" s="34"/>
      <c r="H52" s="58"/>
    </row>
    <row r="53" spans="1:14" x14ac:dyDescent="0.25">
      <c r="A53" s="129" t="s">
        <v>229</v>
      </c>
      <c r="B53" s="129" t="s">
        <v>230</v>
      </c>
      <c r="C53" s="129"/>
      <c r="D53" s="29"/>
      <c r="E53" s="29"/>
      <c r="F53" s="29"/>
      <c r="G53" s="29"/>
      <c r="H53" s="29"/>
      <c r="I53" s="29"/>
      <c r="K53" s="29"/>
      <c r="L53" s="23"/>
      <c r="M53" s="23"/>
      <c r="N53" s="23"/>
    </row>
    <row r="54" spans="1:14" x14ac:dyDescent="0.25">
      <c r="A54" s="153" t="s">
        <v>252</v>
      </c>
      <c r="B54" s="135" t="s">
        <v>329</v>
      </c>
      <c r="C54" s="29"/>
      <c r="D54" s="29"/>
      <c r="E54" s="29"/>
      <c r="F54" s="29"/>
      <c r="G54" s="29"/>
      <c r="H54" s="29"/>
      <c r="I54" s="29"/>
      <c r="K54" s="29"/>
      <c r="L54" s="23"/>
      <c r="M54" s="23"/>
      <c r="N54" s="23"/>
    </row>
    <row r="55" spans="1:14" x14ac:dyDescent="0.25">
      <c r="A55" s="153"/>
      <c r="B55" s="135" t="s">
        <v>286</v>
      </c>
      <c r="C55" s="29"/>
      <c r="D55" s="29"/>
      <c r="E55" s="29"/>
      <c r="F55" s="29"/>
      <c r="G55" s="29"/>
      <c r="H55" s="29"/>
      <c r="I55" s="29"/>
      <c r="K55" s="29"/>
      <c r="L55" s="23"/>
      <c r="M55" s="23"/>
      <c r="N55" s="23"/>
    </row>
    <row r="56" spans="1:14" ht="17.25" x14ac:dyDescent="0.25">
      <c r="A56" s="153"/>
      <c r="B56" s="135" t="s">
        <v>253</v>
      </c>
      <c r="C56" s="29"/>
      <c r="D56" s="29"/>
      <c r="E56" s="29"/>
      <c r="F56" s="29"/>
      <c r="G56" s="29"/>
      <c r="H56" s="135">
        <f>(0.6+4.2)*2*0.8 +0.9*2*(0.5+3.7) + 3.7*0.5+0.6*4.2</f>
        <v>19.61</v>
      </c>
      <c r="I56" s="29" t="s">
        <v>255</v>
      </c>
      <c r="K56" s="29"/>
      <c r="L56" s="23"/>
      <c r="M56" s="23"/>
      <c r="N56" s="23"/>
    </row>
    <row r="57" spans="1:14" s="1" customFormat="1" ht="17.25" x14ac:dyDescent="0.25">
      <c r="A57" s="153"/>
      <c r="B57" s="135" t="s">
        <v>249</v>
      </c>
      <c r="C57" s="29"/>
      <c r="D57" s="29"/>
      <c r="E57" s="29"/>
      <c r="F57" s="29"/>
      <c r="G57" s="29"/>
      <c r="H57" s="135">
        <v>11</v>
      </c>
      <c r="I57" s="29" t="s">
        <v>255</v>
      </c>
      <c r="K57" s="29"/>
      <c r="L57" s="23"/>
      <c r="M57" s="23"/>
      <c r="N57" s="23"/>
    </row>
    <row r="58" spans="1:14" x14ac:dyDescent="0.25">
      <c r="A58" s="198"/>
      <c r="B58" s="135" t="s">
        <v>330</v>
      </c>
      <c r="C58" s="29"/>
      <c r="D58" s="29"/>
      <c r="E58" s="29"/>
      <c r="F58" s="29"/>
      <c r="G58" s="29"/>
      <c r="H58" s="29"/>
      <c r="I58" s="29"/>
      <c r="K58" s="29"/>
      <c r="L58" s="23"/>
      <c r="M58" s="23"/>
      <c r="N58" s="23"/>
    </row>
    <row r="59" spans="1:14" x14ac:dyDescent="0.25">
      <c r="A59" s="198"/>
      <c r="B59" s="135" t="s">
        <v>256</v>
      </c>
      <c r="C59" s="29"/>
      <c r="D59" s="29"/>
      <c r="E59" s="29"/>
      <c r="F59" s="29"/>
      <c r="G59" s="29"/>
      <c r="H59" s="29"/>
      <c r="I59" s="29"/>
      <c r="K59" s="29"/>
      <c r="L59" s="23"/>
      <c r="M59" s="23"/>
      <c r="N59" s="23"/>
    </row>
    <row r="60" spans="1:14" ht="17.25" x14ac:dyDescent="0.25">
      <c r="A60" s="198"/>
      <c r="B60" s="135" t="s">
        <v>287</v>
      </c>
      <c r="C60" s="29"/>
      <c r="D60" s="29"/>
      <c r="E60" s="29"/>
      <c r="F60" s="29"/>
      <c r="G60" s="29"/>
      <c r="H60" s="154">
        <f>2*3.7*17.7+4*1.6</f>
        <v>137.38</v>
      </c>
      <c r="I60" s="29" t="s">
        <v>255</v>
      </c>
      <c r="K60" s="29"/>
      <c r="L60" s="23"/>
      <c r="M60" s="23"/>
      <c r="N60" s="23"/>
    </row>
    <row r="61" spans="1:14" x14ac:dyDescent="0.25">
      <c r="A61" s="198"/>
      <c r="B61" s="135" t="s">
        <v>257</v>
      </c>
      <c r="C61" s="29"/>
      <c r="D61" s="29"/>
      <c r="E61" s="29"/>
      <c r="F61" s="29"/>
      <c r="G61" s="29"/>
      <c r="H61" s="29"/>
      <c r="I61" s="29"/>
      <c r="K61" s="29"/>
      <c r="L61" s="23"/>
      <c r="M61" s="23"/>
      <c r="N61" s="23"/>
    </row>
    <row r="62" spans="1:14" ht="17.25" x14ac:dyDescent="0.25">
      <c r="A62" s="198"/>
      <c r="B62" s="135" t="s">
        <v>258</v>
      </c>
      <c r="C62" s="29"/>
      <c r="D62" s="29"/>
      <c r="E62" s="29"/>
      <c r="F62" s="29"/>
      <c r="G62" s="29"/>
      <c r="H62" s="29">
        <f>J662*2.15 + 4*0.45</f>
        <v>1.8</v>
      </c>
      <c r="I62" s="29" t="s">
        <v>255</v>
      </c>
      <c r="K62" s="29"/>
      <c r="L62" s="23"/>
      <c r="M62" s="23"/>
      <c r="N62" s="23"/>
    </row>
    <row r="63" spans="1:14" s="1" customFormat="1" ht="17.25" x14ac:dyDescent="0.25">
      <c r="A63" s="198"/>
      <c r="B63" s="135" t="s">
        <v>338</v>
      </c>
      <c r="C63" s="29"/>
      <c r="D63" s="29"/>
      <c r="E63" s="29"/>
      <c r="F63" s="29"/>
      <c r="G63" s="29"/>
      <c r="H63" s="29">
        <v>40</v>
      </c>
      <c r="I63" s="29" t="s">
        <v>255</v>
      </c>
      <c r="K63" s="29"/>
      <c r="L63" s="23"/>
      <c r="M63" s="23"/>
      <c r="N63" s="23"/>
    </row>
    <row r="64" spans="1:14" x14ac:dyDescent="0.25">
      <c r="A64" s="198"/>
      <c r="B64" s="135" t="s">
        <v>259</v>
      </c>
      <c r="C64" s="29"/>
      <c r="D64" s="29"/>
      <c r="E64" s="29"/>
      <c r="F64" s="29"/>
      <c r="G64" s="29"/>
      <c r="H64" s="29"/>
      <c r="I64" s="29"/>
      <c r="K64" s="29"/>
      <c r="L64" s="23"/>
      <c r="M64" s="23"/>
      <c r="N64" s="23"/>
    </row>
    <row r="65" spans="1:14" ht="17.25" x14ac:dyDescent="0.25">
      <c r="A65" s="199"/>
      <c r="B65" s="136" t="s">
        <v>260</v>
      </c>
      <c r="C65" s="91"/>
      <c r="D65" s="91"/>
      <c r="E65" s="91"/>
      <c r="F65" s="91"/>
      <c r="G65" s="29"/>
      <c r="H65" s="29">
        <f>2*5.5*17.7+4*1.6</f>
        <v>201.1</v>
      </c>
      <c r="I65" s="29" t="s">
        <v>255</v>
      </c>
      <c r="K65" s="29"/>
      <c r="L65" s="23"/>
      <c r="M65" s="23"/>
      <c r="N65" s="23"/>
    </row>
    <row r="66" spans="1:14" ht="17.25" x14ac:dyDescent="0.25">
      <c r="A66" s="198"/>
      <c r="B66" s="135" t="s">
        <v>116</v>
      </c>
      <c r="C66" s="29"/>
      <c r="D66" s="29"/>
      <c r="E66" s="29"/>
      <c r="F66" s="29"/>
      <c r="G66" s="88"/>
      <c r="H66" s="88">
        <f>SUM(H56:H65)</f>
        <v>410.89</v>
      </c>
      <c r="I66" s="88" t="s">
        <v>255</v>
      </c>
      <c r="K66" s="29"/>
      <c r="L66" s="23"/>
      <c r="M66" s="23"/>
      <c r="N66" s="23"/>
    </row>
    <row r="67" spans="1:14" ht="17.25" x14ac:dyDescent="0.25">
      <c r="A67" s="198"/>
      <c r="B67" s="29" t="s">
        <v>272</v>
      </c>
      <c r="C67" s="29"/>
      <c r="D67" s="29"/>
      <c r="E67" s="29"/>
      <c r="F67" s="29"/>
      <c r="G67" s="29"/>
      <c r="H67" s="154">
        <f>H66*1.4</f>
        <v>575.24599999999998</v>
      </c>
      <c r="I67" s="29" t="s">
        <v>255</v>
      </c>
      <c r="K67" s="29"/>
      <c r="L67" s="23"/>
      <c r="M67" s="23"/>
      <c r="N67" s="23"/>
    </row>
    <row r="68" spans="1:14" ht="17.25" x14ac:dyDescent="0.25">
      <c r="A68" s="198"/>
      <c r="B68" s="136" t="s">
        <v>261</v>
      </c>
      <c r="C68" s="91"/>
      <c r="D68" s="91">
        <v>4.4400000000000004</v>
      </c>
      <c r="E68" s="91" t="s">
        <v>263</v>
      </c>
      <c r="F68" s="91"/>
      <c r="G68" s="91"/>
      <c r="H68" s="91"/>
      <c r="I68" s="91"/>
      <c r="K68" s="29"/>
      <c r="L68" s="23"/>
      <c r="M68" s="23"/>
      <c r="N68" s="23"/>
    </row>
    <row r="69" spans="1:14" x14ac:dyDescent="0.25">
      <c r="A69" s="198"/>
      <c r="B69" s="135" t="s">
        <v>264</v>
      </c>
      <c r="C69" s="29"/>
      <c r="D69" s="29"/>
      <c r="E69" s="29"/>
      <c r="F69" s="29"/>
      <c r="G69" s="29"/>
      <c r="H69" s="154">
        <f>H67*D68</f>
        <v>2554.0922399999999</v>
      </c>
      <c r="I69" s="29" t="s">
        <v>265</v>
      </c>
      <c r="K69" s="29"/>
      <c r="L69" s="23"/>
      <c r="M69" s="23"/>
      <c r="N69" s="23"/>
    </row>
    <row r="70" spans="1:14" x14ac:dyDescent="0.25">
      <c r="A70" s="155"/>
      <c r="B70" s="29"/>
      <c r="C70" s="29"/>
      <c r="D70" s="29"/>
      <c r="E70" s="29"/>
      <c r="F70" s="29"/>
      <c r="G70" s="29"/>
      <c r="H70" s="29"/>
      <c r="I70" s="29"/>
      <c r="K70" s="29"/>
      <c r="L70" s="23"/>
      <c r="M70" s="23"/>
      <c r="N70" s="23"/>
    </row>
    <row r="71" spans="1:14" s="1" customFormat="1" x14ac:dyDescent="0.25">
      <c r="A71" s="155" t="s">
        <v>269</v>
      </c>
      <c r="B71" s="135" t="s">
        <v>331</v>
      </c>
      <c r="C71" s="29"/>
      <c r="D71" s="29"/>
      <c r="E71" s="29"/>
      <c r="F71" s="29"/>
      <c r="G71" s="29"/>
      <c r="H71" s="29"/>
      <c r="I71" s="29"/>
      <c r="K71" s="29"/>
      <c r="L71" s="23"/>
      <c r="M71" s="23"/>
      <c r="N71" s="23"/>
    </row>
    <row r="72" spans="1:14" s="1" customFormat="1" ht="17.25" x14ac:dyDescent="0.25">
      <c r="A72" s="155"/>
      <c r="B72" s="135" t="s">
        <v>271</v>
      </c>
      <c r="C72" s="29"/>
      <c r="D72" s="29"/>
      <c r="E72" s="29"/>
      <c r="F72" s="29">
        <v>61.6</v>
      </c>
      <c r="G72" s="29" t="s">
        <v>255</v>
      </c>
      <c r="H72" s="29"/>
      <c r="I72" s="29"/>
      <c r="K72" s="29"/>
      <c r="L72" s="23"/>
      <c r="M72" s="23"/>
      <c r="N72" s="23"/>
    </row>
    <row r="73" spans="1:14" s="1" customFormat="1" ht="17.25" x14ac:dyDescent="0.25">
      <c r="A73" s="155"/>
      <c r="B73" s="136" t="s">
        <v>270</v>
      </c>
      <c r="C73" s="91"/>
      <c r="D73" s="91"/>
      <c r="E73" s="91"/>
      <c r="F73" s="91">
        <v>7.9</v>
      </c>
      <c r="G73" s="91" t="s">
        <v>263</v>
      </c>
      <c r="H73" s="91"/>
      <c r="I73" s="29"/>
      <c r="K73" s="29"/>
      <c r="L73" s="23"/>
      <c r="M73" s="23"/>
      <c r="N73" s="23"/>
    </row>
    <row r="74" spans="1:14" s="1" customFormat="1" x14ac:dyDescent="0.25">
      <c r="A74" s="155"/>
      <c r="B74" s="135" t="s">
        <v>273</v>
      </c>
      <c r="C74" s="29"/>
      <c r="D74" s="29"/>
      <c r="E74" s="29"/>
      <c r="F74" s="154">
        <f>F72*F73</f>
        <v>486.64000000000004</v>
      </c>
      <c r="G74" s="29" t="s">
        <v>262</v>
      </c>
      <c r="H74" s="29"/>
      <c r="I74" s="29"/>
      <c r="K74" s="29"/>
      <c r="L74" s="23"/>
      <c r="M74" s="23"/>
      <c r="N74" s="23"/>
    </row>
    <row r="75" spans="1:14" s="1" customFormat="1" x14ac:dyDescent="0.25">
      <c r="A75" s="155"/>
      <c r="B75" s="135"/>
      <c r="C75" s="29"/>
      <c r="D75" s="29"/>
      <c r="E75" s="29"/>
      <c r="F75" s="29"/>
      <c r="G75" s="29"/>
      <c r="H75" s="29"/>
      <c r="I75" s="29"/>
      <c r="K75" s="29"/>
      <c r="L75" s="23"/>
      <c r="M75" s="23"/>
      <c r="N75" s="23"/>
    </row>
    <row r="76" spans="1:14" x14ac:dyDescent="0.25">
      <c r="A76" s="155" t="s">
        <v>268</v>
      </c>
      <c r="B76" s="135" t="s">
        <v>266</v>
      </c>
      <c r="C76" s="29"/>
      <c r="D76" s="29"/>
      <c r="E76" s="29"/>
      <c r="F76" s="29"/>
      <c r="G76" s="29"/>
      <c r="H76" s="29"/>
      <c r="I76" s="29"/>
      <c r="K76" s="29"/>
      <c r="L76" s="23"/>
      <c r="M76" s="23"/>
      <c r="N76" s="23"/>
    </row>
    <row r="77" spans="1:14" x14ac:dyDescent="0.25">
      <c r="A77" s="155"/>
      <c r="B77" s="135" t="s">
        <v>267</v>
      </c>
      <c r="C77" s="29"/>
      <c r="D77" s="29"/>
      <c r="E77" s="29"/>
      <c r="F77" s="29"/>
      <c r="G77" s="29"/>
      <c r="H77" s="29"/>
      <c r="I77" s="29"/>
      <c r="K77" s="29"/>
      <c r="L77" s="23"/>
      <c r="M77" s="23"/>
      <c r="N77" s="23"/>
    </row>
    <row r="78" spans="1:14" x14ac:dyDescent="0.25">
      <c r="A78" s="156"/>
      <c r="B78" s="29" t="s">
        <v>226</v>
      </c>
      <c r="C78" s="29"/>
      <c r="D78" s="157" t="s">
        <v>274</v>
      </c>
      <c r="E78" s="29"/>
      <c r="F78" s="29"/>
      <c r="G78" s="29"/>
      <c r="H78" s="29"/>
      <c r="I78" s="29"/>
      <c r="K78" s="29"/>
      <c r="L78" s="23"/>
      <c r="M78" s="23"/>
      <c r="N78" s="23"/>
    </row>
    <row r="79" spans="1:14" x14ac:dyDescent="0.25">
      <c r="A79" s="200"/>
      <c r="B79" s="29"/>
      <c r="C79" s="29"/>
      <c r="D79" s="29">
        <v>209.4</v>
      </c>
      <c r="E79" s="29" t="s">
        <v>265</v>
      </c>
      <c r="F79" s="29"/>
      <c r="G79" s="29"/>
      <c r="H79" s="29"/>
      <c r="I79" s="29"/>
      <c r="K79" s="29"/>
      <c r="L79" s="23"/>
      <c r="M79" s="23"/>
      <c r="N79" s="23"/>
    </row>
    <row r="80" spans="1:14" x14ac:dyDescent="0.25">
      <c r="A80" s="200"/>
      <c r="B80" s="29"/>
      <c r="C80" s="29"/>
      <c r="D80" s="157" t="s">
        <v>292</v>
      </c>
      <c r="E80" s="29"/>
      <c r="F80" s="29"/>
      <c r="G80" s="29"/>
      <c r="H80" s="29"/>
      <c r="I80" s="29"/>
      <c r="K80" s="29"/>
      <c r="L80" s="23"/>
      <c r="M80" s="23"/>
      <c r="N80" s="23"/>
    </row>
    <row r="81" spans="1:11" x14ac:dyDescent="0.25">
      <c r="A81" s="201"/>
      <c r="B81" s="38"/>
      <c r="C81" s="38"/>
      <c r="D81" s="38">
        <v>283.60000000000002</v>
      </c>
      <c r="E81" s="38" t="s">
        <v>265</v>
      </c>
      <c r="F81" s="38"/>
      <c r="G81" s="38"/>
      <c r="H81" s="38"/>
      <c r="I81" s="38"/>
      <c r="K81" s="38"/>
    </row>
    <row r="82" spans="1:11" x14ac:dyDescent="0.25">
      <c r="A82" s="201"/>
      <c r="B82" s="38"/>
      <c r="C82" s="38"/>
      <c r="D82" s="38"/>
      <c r="E82" s="38"/>
      <c r="F82" s="38"/>
      <c r="G82" s="38"/>
      <c r="H82" s="38"/>
      <c r="I82" s="38"/>
      <c r="K82" s="38"/>
    </row>
    <row r="83" spans="1:11" x14ac:dyDescent="0.25">
      <c r="A83" s="179" t="s">
        <v>290</v>
      </c>
      <c r="B83" t="s">
        <v>291</v>
      </c>
    </row>
    <row r="84" spans="1:11" x14ac:dyDescent="0.25">
      <c r="A84" s="179"/>
      <c r="B84" s="157" t="s">
        <v>298</v>
      </c>
      <c r="F84">
        <v>45</v>
      </c>
      <c r="G84" t="s">
        <v>17</v>
      </c>
    </row>
    <row r="85" spans="1:11" x14ac:dyDescent="0.25">
      <c r="A85" s="179"/>
      <c r="B85" t="s">
        <v>293</v>
      </c>
    </row>
    <row r="86" spans="1:11" x14ac:dyDescent="0.25">
      <c r="A86" s="179"/>
      <c r="B86" t="s">
        <v>294</v>
      </c>
    </row>
    <row r="87" spans="1:11" x14ac:dyDescent="0.25">
      <c r="A87" s="179"/>
      <c r="B87" t="s">
        <v>295</v>
      </c>
      <c r="F87">
        <v>0.35</v>
      </c>
      <c r="G87" t="s">
        <v>7</v>
      </c>
    </row>
    <row r="88" spans="1:11" x14ac:dyDescent="0.25">
      <c r="A88" s="179"/>
      <c r="B88" t="s">
        <v>296</v>
      </c>
      <c r="F88">
        <f>F84*F87</f>
        <v>15.749999999999998</v>
      </c>
      <c r="G88" t="s">
        <v>7</v>
      </c>
    </row>
    <row r="89" spans="1:11" x14ac:dyDescent="0.25">
      <c r="A89" s="179"/>
      <c r="B89" s="136" t="s">
        <v>270</v>
      </c>
      <c r="C89" s="62"/>
      <c r="D89" s="62"/>
      <c r="E89" s="62">
        <v>0.61699999999999999</v>
      </c>
      <c r="F89" s="62" t="s">
        <v>297</v>
      </c>
      <c r="G89" s="62"/>
    </row>
    <row r="90" spans="1:11" x14ac:dyDescent="0.25">
      <c r="A90" s="179"/>
      <c r="B90" t="s">
        <v>264</v>
      </c>
      <c r="F90" s="34">
        <f>F88*E89</f>
        <v>9.7177499999999988</v>
      </c>
      <c r="G90" t="s">
        <v>265</v>
      </c>
    </row>
    <row r="91" spans="1:11" x14ac:dyDescent="0.25">
      <c r="A91" s="179"/>
      <c r="B91" s="23"/>
      <c r="C91" s="23"/>
      <c r="D91" s="23"/>
      <c r="E91" s="23"/>
      <c r="F91" s="23"/>
    </row>
    <row r="92" spans="1:11" x14ac:dyDescent="0.25">
      <c r="A92" s="179"/>
      <c r="B92" s="157" t="s">
        <v>348</v>
      </c>
      <c r="C92" s="23"/>
      <c r="D92" s="23"/>
      <c r="E92" s="23"/>
      <c r="F92" s="23">
        <v>24</v>
      </c>
      <c r="G92" t="s">
        <v>352</v>
      </c>
    </row>
    <row r="93" spans="1:11" x14ac:dyDescent="0.25">
      <c r="A93" s="179"/>
      <c r="B93" s="1" t="s">
        <v>349</v>
      </c>
      <c r="C93" s="1"/>
      <c r="D93" s="1"/>
      <c r="E93" s="1"/>
      <c r="F93" s="1"/>
      <c r="G93" s="1"/>
    </row>
    <row r="94" spans="1:11" x14ac:dyDescent="0.25">
      <c r="A94" s="179"/>
      <c r="B94" s="1" t="s">
        <v>350</v>
      </c>
      <c r="C94" s="1"/>
      <c r="D94" s="1"/>
      <c r="E94" s="1"/>
      <c r="F94" s="1"/>
      <c r="G94" s="1"/>
    </row>
    <row r="95" spans="1:11" x14ac:dyDescent="0.25">
      <c r="A95" s="179"/>
      <c r="B95" s="1" t="s">
        <v>351</v>
      </c>
      <c r="C95" s="1"/>
      <c r="D95" s="1"/>
      <c r="E95" s="1"/>
      <c r="F95" s="1">
        <v>0.5</v>
      </c>
      <c r="G95" s="1" t="s">
        <v>7</v>
      </c>
    </row>
    <row r="96" spans="1:11" x14ac:dyDescent="0.25">
      <c r="A96" s="179"/>
      <c r="B96" s="1" t="s">
        <v>296</v>
      </c>
      <c r="C96" s="1"/>
      <c r="D96" s="1"/>
      <c r="E96" s="1"/>
      <c r="F96" s="1">
        <f>F92*F95</f>
        <v>12</v>
      </c>
      <c r="G96" s="1" t="s">
        <v>7</v>
      </c>
    </row>
    <row r="97" spans="1:7" x14ac:dyDescent="0.25">
      <c r="A97" s="179"/>
      <c r="B97" s="136" t="s">
        <v>270</v>
      </c>
      <c r="C97" s="62"/>
      <c r="D97" s="62"/>
      <c r="E97" s="62">
        <v>0.88800000000000001</v>
      </c>
      <c r="F97" s="62" t="s">
        <v>297</v>
      </c>
      <c r="G97" s="62"/>
    </row>
    <row r="98" spans="1:7" x14ac:dyDescent="0.25">
      <c r="A98" s="179"/>
      <c r="B98" s="1" t="s">
        <v>264</v>
      </c>
      <c r="C98" s="1"/>
      <c r="D98" s="1"/>
      <c r="E98" s="1"/>
      <c r="F98" s="34">
        <f>F96*E97</f>
        <v>10.656000000000001</v>
      </c>
      <c r="G98" s="1" t="s">
        <v>265</v>
      </c>
    </row>
    <row r="99" spans="1:7" x14ac:dyDescent="0.25">
      <c r="A99" s="179"/>
    </row>
    <row r="100" spans="1:7" x14ac:dyDescent="0.25">
      <c r="A100" s="179"/>
    </row>
    <row r="101" spans="1:7" x14ac:dyDescent="0.25">
      <c r="A101" s="179"/>
    </row>
    <row r="102" spans="1:7" x14ac:dyDescent="0.25">
      <c r="A102" s="179"/>
    </row>
    <row r="103" spans="1:7" x14ac:dyDescent="0.25">
      <c r="A103" s="179"/>
    </row>
    <row r="104" spans="1:7" x14ac:dyDescent="0.25">
      <c r="A104" s="179"/>
    </row>
  </sheetData>
  <pageMargins left="0.70866141732283472" right="0.70866141732283472" top="0.78740157480314965" bottom="0.78740157480314965" header="0.31496062992125984" footer="0.31496062992125984"/>
  <pageSetup paperSize="9" scale="83" fitToHeight="100" orientation="portrait" r:id="rId1"/>
  <headerFooter>
    <oddHeader>&amp;L&amp;F&amp;RBetony, stříkaný beton, výztuž</oddHeader>
    <oddFooter>&amp;C&amp;P z &amp;N&amp;R&amp;A</oddFooter>
  </headerFooter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rekapitulace_SO_04</vt:lpstr>
      <vt:lpstr>sjezdy</vt:lpstr>
      <vt:lpstr>betony</vt:lpstr>
      <vt:lpstr>rekapitulace_SO_04!Názvy_tisku</vt:lpstr>
      <vt:lpstr>rekapitulace_SO_04!Oblast_tisku</vt:lpstr>
    </vt:vector>
  </TitlesOfParts>
  <Company>Pöyry Environment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Foltynova, Lucie</dc:creator>
  <cp:lastModifiedBy>Dolezalova, Eva_x000d_</cp:lastModifiedBy>
  <cp:lastPrinted>2022-03-31T10:13:27Z</cp:lastPrinted>
  <dcterms:created xsi:type="dcterms:W3CDTF">2016-09-06T06:14:26Z</dcterms:created>
  <dcterms:modified xsi:type="dcterms:W3CDTF">2022-04-13T08:19:43Z</dcterms:modified>
</cp:coreProperties>
</file>